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nergia\Energia\Economia dos Petróleos\"/>
    </mc:Choice>
  </mc:AlternateContent>
  <bookViews>
    <workbookView xWindow="0" yWindow="0" windowWidth="19200" windowHeight="10935" activeTab="5"/>
  </bookViews>
  <sheets>
    <sheet name="Folha0" sheetId="5" r:id="rId1"/>
    <sheet name="Folha1" sheetId="1" r:id="rId2"/>
    <sheet name="Folha2" sheetId="2" r:id="rId3"/>
    <sheet name="Folha3" sheetId="3" r:id="rId4"/>
    <sheet name="Folha4" sheetId="4" r:id="rId5"/>
    <sheet name="Folha5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3" i="5" l="1"/>
  <c r="D6" i="1" l="1"/>
  <c r="E6" i="1"/>
  <c r="F6" i="1"/>
  <c r="C6" i="1"/>
  <c r="I17" i="5"/>
  <c r="I18" i="5" s="1"/>
  <c r="H7" i="1" s="1"/>
  <c r="J17" i="5"/>
  <c r="J18" i="5" s="1"/>
  <c r="I7" i="1" s="1"/>
  <c r="K17" i="5"/>
  <c r="K18" i="5" s="1"/>
  <c r="J7" i="1" s="1"/>
  <c r="L17" i="5"/>
  <c r="L18" i="5" s="1"/>
  <c r="K7" i="1" s="1"/>
  <c r="M17" i="5"/>
  <c r="M18" i="5" s="1"/>
  <c r="L7" i="1" s="1"/>
  <c r="N17" i="5"/>
  <c r="N18" i="5" s="1"/>
  <c r="M7" i="1" s="1"/>
  <c r="O17" i="5"/>
  <c r="O18" i="5" s="1"/>
  <c r="N7" i="1" s="1"/>
  <c r="P17" i="5"/>
  <c r="P18" i="5" s="1"/>
  <c r="O7" i="1" s="1"/>
  <c r="Q17" i="5"/>
  <c r="Q18" i="5" s="1"/>
  <c r="P7" i="1" s="1"/>
  <c r="R17" i="5"/>
  <c r="R18" i="5" s="1"/>
  <c r="Q7" i="1" s="1"/>
  <c r="S17" i="5"/>
  <c r="S18" i="5" s="1"/>
  <c r="R7" i="1" s="1"/>
  <c r="T17" i="5"/>
  <c r="T18" i="5" s="1"/>
  <c r="S7" i="1" s="1"/>
  <c r="U17" i="5"/>
  <c r="U18" i="5" s="1"/>
  <c r="T7" i="1" s="1"/>
  <c r="V17" i="5"/>
  <c r="V18" i="5" s="1"/>
  <c r="U7" i="1" s="1"/>
  <c r="W17" i="5"/>
  <c r="W18" i="5" s="1"/>
  <c r="V7" i="1" s="1"/>
  <c r="X17" i="5"/>
  <c r="X18" i="5" s="1"/>
  <c r="W7" i="1" s="1"/>
  <c r="Y17" i="5"/>
  <c r="Y18" i="5" s="1"/>
  <c r="X7" i="1" s="1"/>
  <c r="Z17" i="5"/>
  <c r="Z18" i="5" s="1"/>
  <c r="Y7" i="1" s="1"/>
  <c r="AA17" i="5"/>
  <c r="AA18" i="5" s="1"/>
  <c r="Z7" i="1" s="1"/>
  <c r="AB17" i="5"/>
  <c r="AB18" i="5" s="1"/>
  <c r="AA7" i="1" s="1"/>
  <c r="AC17" i="5"/>
  <c r="AC18" i="5" s="1"/>
  <c r="AB7" i="1" s="1"/>
  <c r="AD17" i="5"/>
  <c r="AD18" i="5" s="1"/>
  <c r="AC7" i="1" s="1"/>
  <c r="AE17" i="5"/>
  <c r="AE18" i="5" s="1"/>
  <c r="AD7" i="1" s="1"/>
  <c r="AF17" i="5"/>
  <c r="AF18" i="5" s="1"/>
  <c r="AE7" i="1" s="1"/>
  <c r="AG17" i="5"/>
  <c r="AG18" i="5" s="1"/>
  <c r="AF7" i="1" s="1"/>
  <c r="AH17" i="5"/>
  <c r="AH18" i="5" s="1"/>
  <c r="AG7" i="1" s="1"/>
  <c r="AI17" i="5"/>
  <c r="AI18" i="5" s="1"/>
  <c r="AH7" i="1" s="1"/>
  <c r="AJ17" i="5"/>
  <c r="AJ18" i="5" s="1"/>
  <c r="AI7" i="1" s="1"/>
  <c r="AK17" i="5"/>
  <c r="AK18" i="5" s="1"/>
  <c r="AJ7" i="1" s="1"/>
  <c r="AL17" i="5"/>
  <c r="AL18" i="5" s="1"/>
  <c r="AK7" i="1" s="1"/>
  <c r="H17" i="5"/>
  <c r="H18" i="5" s="1"/>
  <c r="G7" i="1" s="1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H14" i="5"/>
  <c r="H15" i="5" s="1"/>
  <c r="H13" i="5"/>
  <c r="V7" i="6" l="1"/>
  <c r="J8" i="6" l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J104" i="6" s="1"/>
  <c r="J105" i="6" s="1"/>
  <c r="J106" i="6" s="1"/>
  <c r="V14" i="4" l="1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D14" i="4"/>
  <c r="E14" i="4"/>
  <c r="F14" i="4"/>
  <c r="C14" i="4"/>
  <c r="F17" i="3"/>
  <c r="F18" i="3" s="1"/>
  <c r="E10" i="3"/>
  <c r="F11" i="3" s="1"/>
  <c r="D3" i="3"/>
  <c r="F4" i="3" s="1"/>
  <c r="T6" i="3" l="1"/>
  <c r="P6" i="3"/>
  <c r="L6" i="3"/>
  <c r="H6" i="3"/>
  <c r="S13" i="3"/>
  <c r="O13" i="3"/>
  <c r="K13" i="3"/>
  <c r="G20" i="3"/>
  <c r="R20" i="3"/>
  <c r="N20" i="3"/>
  <c r="J20" i="3"/>
  <c r="S6" i="3"/>
  <c r="O6" i="3"/>
  <c r="K6" i="3"/>
  <c r="G13" i="3"/>
  <c r="R13" i="3"/>
  <c r="N13" i="3"/>
  <c r="J13" i="3"/>
  <c r="U20" i="3"/>
  <c r="Q20" i="3"/>
  <c r="M20" i="3"/>
  <c r="I20" i="3"/>
  <c r="U6" i="3"/>
  <c r="Q6" i="3"/>
  <c r="M6" i="3"/>
  <c r="I6" i="3"/>
  <c r="T13" i="3"/>
  <c r="P13" i="3"/>
  <c r="L13" i="3"/>
  <c r="H13" i="3"/>
  <c r="S20" i="3"/>
  <c r="O20" i="3"/>
  <c r="K20" i="3"/>
  <c r="G6" i="3"/>
  <c r="R6" i="3"/>
  <c r="N6" i="3"/>
  <c r="J6" i="3"/>
  <c r="U13" i="3"/>
  <c r="Q13" i="3"/>
  <c r="M13" i="3"/>
  <c r="I13" i="3"/>
  <c r="T20" i="3"/>
  <c r="P20" i="3"/>
  <c r="L20" i="3"/>
  <c r="H20" i="3"/>
  <c r="D4" i="3"/>
  <c r="G21" i="3"/>
  <c r="G7" i="3"/>
  <c r="G14" i="3"/>
  <c r="E11" i="3"/>
  <c r="E4" i="3"/>
  <c r="C23" i="1" l="1"/>
  <c r="C3" i="2" s="1"/>
  <c r="E38" i="5"/>
  <c r="F38" i="5"/>
  <c r="G38" i="5"/>
  <c r="D38" i="5"/>
  <c r="C10" i="5"/>
  <c r="D8" i="5"/>
  <c r="D9" i="5" s="1"/>
  <c r="D7" i="5"/>
  <c r="E7" i="5" l="1"/>
  <c r="E8" i="5"/>
  <c r="D10" i="5"/>
  <c r="E5" i="5"/>
  <c r="D23" i="1" s="1"/>
  <c r="C4" i="1" l="1"/>
  <c r="F5" i="5"/>
  <c r="E23" i="1" s="1"/>
  <c r="I13" i="5"/>
  <c r="I15" i="5" s="1"/>
  <c r="E9" i="5"/>
  <c r="C19" i="1" l="1"/>
  <c r="C8" i="1"/>
  <c r="J13" i="5"/>
  <c r="J15" i="5" s="1"/>
  <c r="G5" i="5"/>
  <c r="F7" i="5"/>
  <c r="F8" i="5"/>
  <c r="E10" i="5"/>
  <c r="V13" i="1"/>
  <c r="V15" i="4" s="1"/>
  <c r="V30" i="4" s="1"/>
  <c r="W13" i="1"/>
  <c r="W15" i="4" s="1"/>
  <c r="W30" i="4" s="1"/>
  <c r="X13" i="1"/>
  <c r="X15" i="4" s="1"/>
  <c r="X30" i="4" s="1"/>
  <c r="Y13" i="1"/>
  <c r="Y15" i="4" s="1"/>
  <c r="Y30" i="4" s="1"/>
  <c r="Z13" i="1"/>
  <c r="AA13" i="1"/>
  <c r="AA15" i="4" s="1"/>
  <c r="AA30" i="4" s="1"/>
  <c r="AB13" i="1"/>
  <c r="AB15" i="4" s="1"/>
  <c r="AB30" i="4" s="1"/>
  <c r="AC13" i="1"/>
  <c r="AC15" i="4" s="1"/>
  <c r="AC30" i="4" s="1"/>
  <c r="AD13" i="1"/>
  <c r="AE13" i="1"/>
  <c r="AE15" i="4" s="1"/>
  <c r="AE30" i="4" s="1"/>
  <c r="AF13" i="1"/>
  <c r="AF15" i="4" s="1"/>
  <c r="AF30" i="4" s="1"/>
  <c r="AG13" i="1"/>
  <c r="AG15" i="4" s="1"/>
  <c r="AG30" i="4" s="1"/>
  <c r="AH13" i="1"/>
  <c r="AI13" i="1"/>
  <c r="AI15" i="4" s="1"/>
  <c r="AI30" i="4" s="1"/>
  <c r="AJ13" i="1"/>
  <c r="AJ15" i="4" s="1"/>
  <c r="AJ30" i="4" s="1"/>
  <c r="AK13" i="1"/>
  <c r="AK15" i="4" s="1"/>
  <c r="AK30" i="4" s="1"/>
  <c r="C13" i="1"/>
  <c r="C15" i="4" s="1"/>
  <c r="C30" i="4" s="1"/>
  <c r="Z15" i="4"/>
  <c r="Z30" i="4" s="1"/>
  <c r="AD15" i="4"/>
  <c r="AD30" i="4" s="1"/>
  <c r="AH15" i="4"/>
  <c r="AH30" i="4" s="1"/>
  <c r="F7" i="4"/>
  <c r="E7" i="4"/>
  <c r="D7" i="4"/>
  <c r="C7" i="4"/>
  <c r="AK6" i="4"/>
  <c r="D4" i="1" l="1"/>
  <c r="F23" i="1"/>
  <c r="H5" i="5"/>
  <c r="K13" i="5"/>
  <c r="K15" i="5" s="1"/>
  <c r="F9" i="5"/>
  <c r="G23" i="1" l="1"/>
  <c r="D19" i="1"/>
  <c r="D8" i="1"/>
  <c r="L13" i="5"/>
  <c r="L15" i="5" s="1"/>
  <c r="I5" i="5"/>
  <c r="G7" i="5"/>
  <c r="G8" i="5"/>
  <c r="F10" i="5"/>
  <c r="E4" i="1" s="1"/>
  <c r="C12" i="4"/>
  <c r="G13" i="1"/>
  <c r="G15" i="4" s="1"/>
  <c r="G30" i="4" s="1"/>
  <c r="E13" i="1"/>
  <c r="E15" i="4" s="1"/>
  <c r="E30" i="4" s="1"/>
  <c r="G8" i="3"/>
  <c r="D13" i="1"/>
  <c r="D15" i="4" s="1"/>
  <c r="D30" i="4" s="1"/>
  <c r="H23" i="1" l="1"/>
  <c r="F13" i="1"/>
  <c r="F15" i="4" s="1"/>
  <c r="F30" i="4" s="1"/>
  <c r="F35" i="5"/>
  <c r="F37" i="5"/>
  <c r="F36" i="5"/>
  <c r="J5" i="5"/>
  <c r="M13" i="5"/>
  <c r="M15" i="5" s="1"/>
  <c r="G9" i="5"/>
  <c r="G3" i="3"/>
  <c r="G15" i="3"/>
  <c r="G22" i="3"/>
  <c r="F11" i="1"/>
  <c r="F6" i="4" s="1"/>
  <c r="I23" i="1" l="1"/>
  <c r="G14" i="4"/>
  <c r="H7" i="3"/>
  <c r="H8" i="3" s="1"/>
  <c r="G10" i="3"/>
  <c r="H14" i="3" s="1"/>
  <c r="G17" i="3"/>
  <c r="E19" i="1"/>
  <c r="E8" i="1"/>
  <c r="N13" i="5"/>
  <c r="N15" i="5" s="1"/>
  <c r="K5" i="5"/>
  <c r="H7" i="5"/>
  <c r="H8" i="5"/>
  <c r="G10" i="5"/>
  <c r="F4" i="1" l="1"/>
  <c r="F8" i="1" s="1"/>
  <c r="J23" i="1"/>
  <c r="H3" i="3"/>
  <c r="I7" i="3" s="1"/>
  <c r="I8" i="3" s="1"/>
  <c r="H21" i="3"/>
  <c r="H22" i="3" s="1"/>
  <c r="G36" i="5"/>
  <c r="G35" i="5"/>
  <c r="G37" i="5"/>
  <c r="L5" i="5"/>
  <c r="O13" i="5"/>
  <c r="O15" i="5" s="1"/>
  <c r="H9" i="5"/>
  <c r="H15" i="3"/>
  <c r="E11" i="1"/>
  <c r="E6" i="4" s="1"/>
  <c r="D11" i="1"/>
  <c r="D6" i="4" s="1"/>
  <c r="C11" i="1"/>
  <c r="C6" i="4" s="1"/>
  <c r="V4" i="2"/>
  <c r="V5" i="2"/>
  <c r="V6" i="2"/>
  <c r="C7" i="2"/>
  <c r="K23" i="1" l="1"/>
  <c r="H14" i="4"/>
  <c r="H17" i="3"/>
  <c r="I21" i="3" s="1"/>
  <c r="I22" i="3" s="1"/>
  <c r="I17" i="3" s="1"/>
  <c r="J21" i="3" s="1"/>
  <c r="J22" i="3" s="1"/>
  <c r="H13" i="1"/>
  <c r="H15" i="4" s="1"/>
  <c r="H30" i="4" s="1"/>
  <c r="H10" i="3"/>
  <c r="F19" i="1"/>
  <c r="P13" i="5"/>
  <c r="P15" i="5" s="1"/>
  <c r="M5" i="5"/>
  <c r="I7" i="5"/>
  <c r="I8" i="5"/>
  <c r="H10" i="5"/>
  <c r="I3" i="3"/>
  <c r="J7" i="3" s="1"/>
  <c r="C19" i="2"/>
  <c r="C15" i="2"/>
  <c r="C11" i="2"/>
  <c r="C18" i="2"/>
  <c r="C14" i="2"/>
  <c r="C10" i="2"/>
  <c r="C21" i="2"/>
  <c r="C17" i="2"/>
  <c r="C13" i="2"/>
  <c r="C9" i="2"/>
  <c r="C20" i="2"/>
  <c r="C16" i="2"/>
  <c r="C12" i="2"/>
  <c r="C8" i="2"/>
  <c r="H37" i="5" l="1"/>
  <c r="H36" i="5"/>
  <c r="H35" i="5"/>
  <c r="G4" i="1"/>
  <c r="G8" i="1" s="1"/>
  <c r="G6" i="1"/>
  <c r="H38" i="5" s="1"/>
  <c r="L23" i="1"/>
  <c r="I14" i="3"/>
  <c r="I13" i="1" s="1"/>
  <c r="I15" i="4" s="1"/>
  <c r="I30" i="4" s="1"/>
  <c r="N5" i="5"/>
  <c r="Q13" i="5"/>
  <c r="Q15" i="5" s="1"/>
  <c r="I9" i="5"/>
  <c r="J17" i="3"/>
  <c r="K21" i="3" s="1"/>
  <c r="C37" i="2"/>
  <c r="C10" i="1"/>
  <c r="C12" i="1" s="1"/>
  <c r="G19" i="1" l="1"/>
  <c r="M23" i="1"/>
  <c r="I15" i="3"/>
  <c r="I14" i="4" s="1"/>
  <c r="C14" i="1"/>
  <c r="C15" i="1" s="1"/>
  <c r="C16" i="4" s="1"/>
  <c r="C5" i="4"/>
  <c r="D12" i="4"/>
  <c r="R13" i="5"/>
  <c r="R15" i="5" s="1"/>
  <c r="O5" i="5"/>
  <c r="D3" i="2"/>
  <c r="D7" i="2" s="1"/>
  <c r="J7" i="5"/>
  <c r="J8" i="5"/>
  <c r="I10" i="5"/>
  <c r="J8" i="3"/>
  <c r="K22" i="3"/>
  <c r="C21" i="1"/>
  <c r="H6" i="1" l="1"/>
  <c r="I38" i="5" s="1"/>
  <c r="I35" i="5"/>
  <c r="I36" i="5"/>
  <c r="I37" i="5"/>
  <c r="H4" i="1"/>
  <c r="H8" i="1" s="1"/>
  <c r="N23" i="1"/>
  <c r="I10" i="3"/>
  <c r="J14" i="3" s="1"/>
  <c r="C16" i="1"/>
  <c r="D19" i="2"/>
  <c r="E12" i="4"/>
  <c r="D11" i="2"/>
  <c r="D20" i="2"/>
  <c r="D17" i="2"/>
  <c r="D10" i="2"/>
  <c r="D18" i="2"/>
  <c r="D13" i="2"/>
  <c r="P5" i="5"/>
  <c r="S13" i="5"/>
  <c r="S15" i="5" s="1"/>
  <c r="D8" i="2"/>
  <c r="D21" i="2"/>
  <c r="D15" i="2"/>
  <c r="D16" i="2"/>
  <c r="D9" i="2"/>
  <c r="D12" i="2"/>
  <c r="D14" i="2"/>
  <c r="E3" i="2"/>
  <c r="E7" i="2" s="1"/>
  <c r="J9" i="5"/>
  <c r="C24" i="1"/>
  <c r="C27" i="1" s="1"/>
  <c r="C13" i="4"/>
  <c r="C17" i="4" s="1"/>
  <c r="J3" i="3"/>
  <c r="K7" i="3" s="1"/>
  <c r="K17" i="3"/>
  <c r="L21" i="3" s="1"/>
  <c r="H19" i="1" l="1"/>
  <c r="C28" i="1"/>
  <c r="C33" i="1" s="1"/>
  <c r="C34" i="1" s="1"/>
  <c r="O23" i="1"/>
  <c r="J15" i="3"/>
  <c r="J14" i="4" s="1"/>
  <c r="J13" i="1"/>
  <c r="J15" i="4" s="1"/>
  <c r="J30" i="4" s="1"/>
  <c r="D37" i="2"/>
  <c r="T13" i="5"/>
  <c r="T15" i="5" s="1"/>
  <c r="Q5" i="5"/>
  <c r="E18" i="2"/>
  <c r="E11" i="2"/>
  <c r="E8" i="2"/>
  <c r="E9" i="2"/>
  <c r="E21" i="2"/>
  <c r="E20" i="2"/>
  <c r="E19" i="2"/>
  <c r="E12" i="2"/>
  <c r="E17" i="2"/>
  <c r="E15" i="2"/>
  <c r="E14" i="2"/>
  <c r="E13" i="2"/>
  <c r="E10" i="2"/>
  <c r="E16" i="2"/>
  <c r="F12" i="4"/>
  <c r="F3" i="2"/>
  <c r="K7" i="5"/>
  <c r="K8" i="5"/>
  <c r="J10" i="5"/>
  <c r="C25" i="1"/>
  <c r="C17" i="1" s="1"/>
  <c r="L22" i="3"/>
  <c r="D10" i="1"/>
  <c r="D12" i="1" s="1"/>
  <c r="E10" i="1"/>
  <c r="E12" i="1" s="1"/>
  <c r="I6" i="1" l="1"/>
  <c r="J38" i="5" s="1"/>
  <c r="J35" i="5"/>
  <c r="J37" i="5"/>
  <c r="J36" i="5"/>
  <c r="I4" i="1"/>
  <c r="I8" i="1" s="1"/>
  <c r="P23" i="1"/>
  <c r="J10" i="3"/>
  <c r="K14" i="3" s="1"/>
  <c r="E14" i="1"/>
  <c r="E15" i="1" s="1"/>
  <c r="E16" i="4" s="1"/>
  <c r="D14" i="1"/>
  <c r="D15" i="1" s="1"/>
  <c r="D16" i="4" s="1"/>
  <c r="C29" i="4"/>
  <c r="C4" i="4" s="1"/>
  <c r="E37" i="2"/>
  <c r="R5" i="5"/>
  <c r="U13" i="5"/>
  <c r="U15" i="5" s="1"/>
  <c r="G12" i="4"/>
  <c r="G3" i="2"/>
  <c r="F7" i="2"/>
  <c r="V7" i="2" s="1"/>
  <c r="G11" i="1" s="1"/>
  <c r="G6" i="4" s="1"/>
  <c r="F11" i="2"/>
  <c r="F16" i="2"/>
  <c r="F18" i="2"/>
  <c r="F13" i="2"/>
  <c r="F19" i="2"/>
  <c r="F14" i="2"/>
  <c r="F20" i="2"/>
  <c r="F15" i="2"/>
  <c r="F17" i="2"/>
  <c r="F12" i="2"/>
  <c r="F9" i="2"/>
  <c r="F10" i="2"/>
  <c r="F8" i="2"/>
  <c r="F21" i="2"/>
  <c r="K9" i="5"/>
  <c r="E5" i="4"/>
  <c r="D5" i="4"/>
  <c r="K8" i="3"/>
  <c r="L17" i="3"/>
  <c r="M21" i="3" s="1"/>
  <c r="D21" i="1"/>
  <c r="D24" i="1" s="1"/>
  <c r="D27" i="1" s="1"/>
  <c r="E21" i="1"/>
  <c r="E24" i="1" s="1"/>
  <c r="E27" i="1" s="1"/>
  <c r="I19" i="1" l="1"/>
  <c r="D28" i="1"/>
  <c r="D33" i="1" s="1"/>
  <c r="D34" i="1" s="1"/>
  <c r="Q23" i="1"/>
  <c r="C8" i="4"/>
  <c r="E16" i="1"/>
  <c r="D16" i="1"/>
  <c r="F37" i="2"/>
  <c r="V13" i="5"/>
  <c r="V15" i="5" s="1"/>
  <c r="S5" i="5"/>
  <c r="H12" i="4"/>
  <c r="H3" i="2"/>
  <c r="G11" i="2"/>
  <c r="G20" i="2"/>
  <c r="G19" i="2"/>
  <c r="G16" i="2"/>
  <c r="G9" i="2"/>
  <c r="G13" i="2"/>
  <c r="G14" i="2"/>
  <c r="G8" i="2"/>
  <c r="V8" i="2" s="1"/>
  <c r="H11" i="1" s="1"/>
  <c r="H6" i="4" s="1"/>
  <c r="G10" i="2"/>
  <c r="G17" i="2"/>
  <c r="G21" i="2"/>
  <c r="G22" i="2"/>
  <c r="G18" i="2"/>
  <c r="G15" i="2"/>
  <c r="G12" i="2"/>
  <c r="L7" i="5"/>
  <c r="L8" i="5"/>
  <c r="K10" i="5"/>
  <c r="D13" i="4"/>
  <c r="D17" i="4" s="1"/>
  <c r="K3" i="3"/>
  <c r="L7" i="3" s="1"/>
  <c r="E13" i="4"/>
  <c r="M22" i="3"/>
  <c r="F10" i="1"/>
  <c r="J6" i="1" l="1"/>
  <c r="K38" i="5" s="1"/>
  <c r="K36" i="5"/>
  <c r="K35" i="5"/>
  <c r="K37" i="5"/>
  <c r="J4" i="1"/>
  <c r="J8" i="1" s="1"/>
  <c r="E28" i="1"/>
  <c r="E33" i="1" s="1"/>
  <c r="E34" i="1" s="1"/>
  <c r="R23" i="1"/>
  <c r="C19" i="4"/>
  <c r="E17" i="4"/>
  <c r="E29" i="4" s="1"/>
  <c r="E4" i="4" s="1"/>
  <c r="K15" i="3"/>
  <c r="K14" i="4" s="1"/>
  <c r="K13" i="1"/>
  <c r="K15" i="4" s="1"/>
  <c r="K30" i="4" s="1"/>
  <c r="D29" i="4"/>
  <c r="G37" i="2"/>
  <c r="T5" i="5"/>
  <c r="W13" i="5"/>
  <c r="W15" i="5" s="1"/>
  <c r="I12" i="4"/>
  <c r="I3" i="2"/>
  <c r="H18" i="2"/>
  <c r="H19" i="2"/>
  <c r="H16" i="2"/>
  <c r="H21" i="2"/>
  <c r="H22" i="2"/>
  <c r="H23" i="2"/>
  <c r="H12" i="2"/>
  <c r="H10" i="2"/>
  <c r="H11" i="2"/>
  <c r="H9" i="2"/>
  <c r="V9" i="2" s="1"/>
  <c r="I11" i="1" s="1"/>
  <c r="I6" i="4" s="1"/>
  <c r="H20" i="2"/>
  <c r="H14" i="2"/>
  <c r="H15" i="2"/>
  <c r="H17" i="2"/>
  <c r="H13" i="2"/>
  <c r="L9" i="5"/>
  <c r="M7" i="5" s="1"/>
  <c r="D25" i="1"/>
  <c r="D17" i="1" s="1"/>
  <c r="M17" i="3"/>
  <c r="N21" i="3" s="1"/>
  <c r="F12" i="1"/>
  <c r="G10" i="1"/>
  <c r="F21" i="1"/>
  <c r="F24" i="1" s="1"/>
  <c r="J19" i="1" l="1"/>
  <c r="S23" i="1"/>
  <c r="C20" i="4"/>
  <c r="K10" i="3"/>
  <c r="L14" i="3" s="1"/>
  <c r="F14" i="1"/>
  <c r="F15" i="1" s="1"/>
  <c r="F16" i="4" s="1"/>
  <c r="D4" i="4"/>
  <c r="F27" i="1"/>
  <c r="E25" i="1"/>
  <c r="E17" i="1" s="1"/>
  <c r="H37" i="2"/>
  <c r="X13" i="5"/>
  <c r="X15" i="5" s="1"/>
  <c r="U5" i="5"/>
  <c r="I15" i="2"/>
  <c r="I16" i="2"/>
  <c r="I13" i="2"/>
  <c r="I22" i="2"/>
  <c r="I19" i="2"/>
  <c r="I20" i="2"/>
  <c r="I21" i="2"/>
  <c r="I10" i="2"/>
  <c r="V10" i="2" s="1"/>
  <c r="J11" i="1" s="1"/>
  <c r="J6" i="4" s="1"/>
  <c r="I23" i="2"/>
  <c r="I24" i="2"/>
  <c r="I17" i="2"/>
  <c r="I11" i="2"/>
  <c r="I12" i="2"/>
  <c r="I18" i="2"/>
  <c r="I14" i="2"/>
  <c r="J12" i="4"/>
  <c r="J3" i="2"/>
  <c r="L10" i="5"/>
  <c r="M8" i="5"/>
  <c r="M9" i="5" s="1"/>
  <c r="F13" i="4"/>
  <c r="E8" i="4"/>
  <c r="E19" i="4" s="1"/>
  <c r="F5" i="4"/>
  <c r="L8" i="3"/>
  <c r="N22" i="3"/>
  <c r="N17" i="3" s="1"/>
  <c r="O21" i="3" s="1"/>
  <c r="G12" i="1"/>
  <c r="K6" i="1" l="1"/>
  <c r="L38" i="5" s="1"/>
  <c r="L36" i="5"/>
  <c r="L35" i="5"/>
  <c r="L37" i="5"/>
  <c r="K4" i="1"/>
  <c r="K8" i="1" s="1"/>
  <c r="F28" i="1"/>
  <c r="F33" i="1" s="1"/>
  <c r="F34" i="1" s="1"/>
  <c r="F17" i="4"/>
  <c r="T23" i="1"/>
  <c r="D8" i="4"/>
  <c r="F16" i="1"/>
  <c r="G14" i="1"/>
  <c r="G15" i="1" s="1"/>
  <c r="G16" i="4" s="1"/>
  <c r="F25" i="1"/>
  <c r="F17" i="1" s="1"/>
  <c r="I37" i="2"/>
  <c r="V5" i="5"/>
  <c r="Y13" i="5"/>
  <c r="Y15" i="5" s="1"/>
  <c r="J15" i="2"/>
  <c r="J16" i="2"/>
  <c r="J11" i="2"/>
  <c r="V11" i="2" s="1"/>
  <c r="K11" i="1" s="1"/>
  <c r="K6" i="4" s="1"/>
  <c r="J14" i="2"/>
  <c r="J20" i="2"/>
  <c r="J22" i="2"/>
  <c r="J23" i="2"/>
  <c r="J13" i="2"/>
  <c r="J12" i="2"/>
  <c r="J21" i="2"/>
  <c r="J19" i="2"/>
  <c r="J17" i="2"/>
  <c r="J24" i="2"/>
  <c r="J25" i="2"/>
  <c r="J18" i="2"/>
  <c r="K12" i="4"/>
  <c r="K3" i="2"/>
  <c r="G5" i="4"/>
  <c r="L3" i="3"/>
  <c r="M7" i="3" s="1"/>
  <c r="O22" i="3"/>
  <c r="H10" i="1"/>
  <c r="G21" i="1"/>
  <c r="G24" i="1" s="1"/>
  <c r="G27" i="1" s="1"/>
  <c r="K19" i="1" l="1"/>
  <c r="G28" i="1"/>
  <c r="G33" i="1" s="1"/>
  <c r="G34" i="1" s="1"/>
  <c r="U23" i="1"/>
  <c r="D19" i="4"/>
  <c r="F29" i="4"/>
  <c r="F4" i="4" s="1"/>
  <c r="L15" i="3"/>
  <c r="L14" i="4" s="1"/>
  <c r="L13" i="1"/>
  <c r="L15" i="4" s="1"/>
  <c r="L30" i="4" s="1"/>
  <c r="G16" i="1"/>
  <c r="J37" i="2"/>
  <c r="Z13" i="5"/>
  <c r="Z15" i="5" s="1"/>
  <c r="W5" i="5"/>
  <c r="L12" i="4"/>
  <c r="L3" i="2"/>
  <c r="K14" i="2"/>
  <c r="K15" i="2"/>
  <c r="K25" i="2"/>
  <c r="K13" i="2"/>
  <c r="K20" i="2"/>
  <c r="K26" i="2"/>
  <c r="K17" i="2"/>
  <c r="K24" i="2"/>
  <c r="K18" i="2"/>
  <c r="K19" i="2"/>
  <c r="K12" i="2"/>
  <c r="V12" i="2" s="1"/>
  <c r="L11" i="1" s="1"/>
  <c r="L6" i="4" s="1"/>
  <c r="K21" i="2"/>
  <c r="K22" i="2"/>
  <c r="K23" i="2"/>
  <c r="K16" i="2"/>
  <c r="N7" i="5"/>
  <c r="N8" i="5"/>
  <c r="M10" i="5"/>
  <c r="G13" i="4"/>
  <c r="G17" i="4" s="1"/>
  <c r="O17" i="3"/>
  <c r="P21" i="3" s="1"/>
  <c r="H12" i="1"/>
  <c r="H21" i="1"/>
  <c r="H24" i="1" s="1"/>
  <c r="I10" i="1"/>
  <c r="L6" i="1" l="1"/>
  <c r="M38" i="5" s="1"/>
  <c r="M35" i="5"/>
  <c r="M37" i="5"/>
  <c r="M36" i="5"/>
  <c r="L4" i="1"/>
  <c r="L8" i="1" s="1"/>
  <c r="V23" i="1"/>
  <c r="D20" i="4"/>
  <c r="E20" i="4" s="1"/>
  <c r="F8" i="4"/>
  <c r="L10" i="3"/>
  <c r="M14" i="3" s="1"/>
  <c r="H14" i="1"/>
  <c r="H15" i="1" s="1"/>
  <c r="H16" i="4" s="1"/>
  <c r="G29" i="4"/>
  <c r="H27" i="1"/>
  <c r="K37" i="2"/>
  <c r="X5" i="5"/>
  <c r="AA13" i="5"/>
  <c r="AA15" i="5" s="1"/>
  <c r="M12" i="4"/>
  <c r="M3" i="2"/>
  <c r="L14" i="2"/>
  <c r="L15" i="2"/>
  <c r="L17" i="2"/>
  <c r="L13" i="2"/>
  <c r="V13" i="2" s="1"/>
  <c r="M11" i="1" s="1"/>
  <c r="M6" i="4" s="1"/>
  <c r="L22" i="2"/>
  <c r="L24" i="2"/>
  <c r="L18" i="2"/>
  <c r="L19" i="2"/>
  <c r="L25" i="2"/>
  <c r="L21" i="2"/>
  <c r="L23" i="2"/>
  <c r="L16" i="2"/>
  <c r="L26" i="2"/>
  <c r="L27" i="2"/>
  <c r="L20" i="2"/>
  <c r="N9" i="5"/>
  <c r="O8" i="5" s="1"/>
  <c r="H5" i="4"/>
  <c r="M8" i="3"/>
  <c r="H13" i="4"/>
  <c r="G25" i="1"/>
  <c r="G17" i="1" s="1"/>
  <c r="P22" i="3"/>
  <c r="P17" i="3" s="1"/>
  <c r="Q21" i="3" s="1"/>
  <c r="I12" i="1"/>
  <c r="J10" i="1"/>
  <c r="L19" i="1" l="1"/>
  <c r="H28" i="1"/>
  <c r="H33" i="1" s="1"/>
  <c r="H34" i="1" s="1"/>
  <c r="W23" i="1"/>
  <c r="H17" i="4"/>
  <c r="H29" i="4" s="1"/>
  <c r="H4" i="4" s="1"/>
  <c r="F19" i="4"/>
  <c r="H16" i="1"/>
  <c r="I14" i="1"/>
  <c r="I15" i="1" s="1"/>
  <c r="I16" i="4" s="1"/>
  <c r="G4" i="4"/>
  <c r="L37" i="2"/>
  <c r="AB13" i="5"/>
  <c r="AB15" i="5" s="1"/>
  <c r="Y5" i="5"/>
  <c r="M22" i="2"/>
  <c r="M23" i="2"/>
  <c r="M24" i="2"/>
  <c r="M16" i="2"/>
  <c r="M18" i="2"/>
  <c r="M25" i="2"/>
  <c r="M26" i="2"/>
  <c r="M27" i="2"/>
  <c r="M20" i="2"/>
  <c r="M14" i="2"/>
  <c r="V14" i="2" s="1"/>
  <c r="N11" i="1" s="1"/>
  <c r="N6" i="4" s="1"/>
  <c r="M15" i="2"/>
  <c r="M17" i="2"/>
  <c r="M28" i="2"/>
  <c r="M19" i="2"/>
  <c r="M21" i="2"/>
  <c r="N12" i="4"/>
  <c r="N3" i="2"/>
  <c r="O7" i="5"/>
  <c r="O9" i="5" s="1"/>
  <c r="N10" i="5"/>
  <c r="I5" i="4"/>
  <c r="M3" i="3"/>
  <c r="N7" i="3" s="1"/>
  <c r="H25" i="1"/>
  <c r="H17" i="1" s="1"/>
  <c r="Q22" i="3"/>
  <c r="J12" i="1"/>
  <c r="I21" i="1"/>
  <c r="I24" i="1" s="1"/>
  <c r="I27" i="1" s="1"/>
  <c r="M6" i="1" l="1"/>
  <c r="N38" i="5" s="1"/>
  <c r="N36" i="5"/>
  <c r="N35" i="5"/>
  <c r="N37" i="5"/>
  <c r="M4" i="1"/>
  <c r="M8" i="1" s="1"/>
  <c r="I28" i="1"/>
  <c r="I33" i="1" s="1"/>
  <c r="I34" i="1" s="1"/>
  <c r="X23" i="1"/>
  <c r="F20" i="4"/>
  <c r="G8" i="4"/>
  <c r="M15" i="3"/>
  <c r="M14" i="4" s="1"/>
  <c r="M13" i="1"/>
  <c r="M15" i="4" s="1"/>
  <c r="M30" i="4" s="1"/>
  <c r="I16" i="1"/>
  <c r="J14" i="1"/>
  <c r="J15" i="1" s="1"/>
  <c r="J16" i="4" s="1"/>
  <c r="M37" i="2"/>
  <c r="Z5" i="5"/>
  <c r="AC13" i="5"/>
  <c r="AC15" i="5" s="1"/>
  <c r="N25" i="2"/>
  <c r="N15" i="2"/>
  <c r="V15" i="2" s="1"/>
  <c r="O11" i="1" s="1"/>
  <c r="O6" i="4" s="1"/>
  <c r="N24" i="2"/>
  <c r="N29" i="2"/>
  <c r="N18" i="2"/>
  <c r="N19" i="2"/>
  <c r="N20" i="2"/>
  <c r="N17" i="2"/>
  <c r="N22" i="2"/>
  <c r="N23" i="2"/>
  <c r="N28" i="2"/>
  <c r="N21" i="2"/>
  <c r="N26" i="2"/>
  <c r="N27" i="2"/>
  <c r="N16" i="2"/>
  <c r="O12" i="4"/>
  <c r="O3" i="2"/>
  <c r="P7" i="5"/>
  <c r="P8" i="5"/>
  <c r="O10" i="5"/>
  <c r="I13" i="4"/>
  <c r="I17" i="4" s="1"/>
  <c r="H8" i="4"/>
  <c r="H19" i="4" s="1"/>
  <c r="J5" i="4"/>
  <c r="Q17" i="3"/>
  <c r="R21" i="3" s="1"/>
  <c r="K10" i="1"/>
  <c r="M19" i="1" l="1"/>
  <c r="N6" i="1"/>
  <c r="O38" i="5" s="1"/>
  <c r="O36" i="5"/>
  <c r="O35" i="5"/>
  <c r="O37" i="5"/>
  <c r="N4" i="1"/>
  <c r="N8" i="1" s="1"/>
  <c r="Y23" i="1"/>
  <c r="G19" i="4"/>
  <c r="I29" i="4"/>
  <c r="I4" i="4" s="1"/>
  <c r="I8" i="4" s="1"/>
  <c r="I19" i="4" s="1"/>
  <c r="M10" i="3"/>
  <c r="N14" i="3" s="1"/>
  <c r="J16" i="1"/>
  <c r="N37" i="2"/>
  <c r="AD13" i="5"/>
  <c r="AD15" i="5" s="1"/>
  <c r="AA5" i="5"/>
  <c r="O21" i="2"/>
  <c r="O22" i="2"/>
  <c r="O19" i="2"/>
  <c r="O28" i="2"/>
  <c r="O29" i="2"/>
  <c r="O27" i="2"/>
  <c r="O17" i="2"/>
  <c r="O16" i="2"/>
  <c r="V16" i="2" s="1"/>
  <c r="P11" i="1" s="1"/>
  <c r="P6" i="4" s="1"/>
  <c r="O25" i="2"/>
  <c r="O26" i="2"/>
  <c r="O23" i="2"/>
  <c r="O20" i="2"/>
  <c r="O30" i="2"/>
  <c r="O18" i="2"/>
  <c r="O24" i="2"/>
  <c r="P12" i="4"/>
  <c r="P3" i="2"/>
  <c r="P9" i="5"/>
  <c r="N8" i="3"/>
  <c r="I25" i="1"/>
  <c r="I17" i="1" s="1"/>
  <c r="R22" i="3"/>
  <c r="R17" i="3" s="1"/>
  <c r="S21" i="3" s="1"/>
  <c r="K12" i="1"/>
  <c r="J21" i="1"/>
  <c r="J24" i="1" s="1"/>
  <c r="J27" i="1" s="1"/>
  <c r="N19" i="1" l="1"/>
  <c r="J28" i="1"/>
  <c r="J33" i="1" s="1"/>
  <c r="J34" i="1" s="1"/>
  <c r="Z23" i="1"/>
  <c r="G20" i="4"/>
  <c r="H20" i="4" s="1"/>
  <c r="I20" i="4" s="1"/>
  <c r="K14" i="1"/>
  <c r="K15" i="1" s="1"/>
  <c r="K16" i="4" s="1"/>
  <c r="O37" i="2"/>
  <c r="AB5" i="5"/>
  <c r="AE13" i="5"/>
  <c r="AE15" i="5" s="1"/>
  <c r="Q12" i="4"/>
  <c r="Q3" i="2"/>
  <c r="P17" i="2"/>
  <c r="V17" i="2" s="1"/>
  <c r="Q11" i="1" s="1"/>
  <c r="Q6" i="4" s="1"/>
  <c r="P18" i="2"/>
  <c r="P23" i="2"/>
  <c r="P20" i="2"/>
  <c r="P21" i="2"/>
  <c r="P22" i="2"/>
  <c r="P27" i="2"/>
  <c r="P24" i="2"/>
  <c r="P25" i="2"/>
  <c r="P26" i="2"/>
  <c r="P31" i="2"/>
  <c r="P28" i="2"/>
  <c r="P29" i="2"/>
  <c r="P30" i="2"/>
  <c r="P19" i="2"/>
  <c r="Q7" i="5"/>
  <c r="Q8" i="5"/>
  <c r="P10" i="5"/>
  <c r="K5" i="4"/>
  <c r="N3" i="3"/>
  <c r="O7" i="3" s="1"/>
  <c r="J13" i="4"/>
  <c r="S22" i="3"/>
  <c r="S17" i="3" s="1"/>
  <c r="T21" i="3" s="1"/>
  <c r="O6" i="1" l="1"/>
  <c r="P38" i="5" s="1"/>
  <c r="P35" i="5"/>
  <c r="P36" i="5"/>
  <c r="P37" i="5"/>
  <c r="O4" i="1"/>
  <c r="O8" i="1" s="1"/>
  <c r="AA23" i="1"/>
  <c r="J17" i="4"/>
  <c r="J29" i="4" s="1"/>
  <c r="J4" i="4" s="1"/>
  <c r="N15" i="3"/>
  <c r="N14" i="4" s="1"/>
  <c r="N13" i="1"/>
  <c r="N15" i="4" s="1"/>
  <c r="N30" i="4" s="1"/>
  <c r="K16" i="1"/>
  <c r="P37" i="2"/>
  <c r="AF13" i="5"/>
  <c r="AF15" i="5" s="1"/>
  <c r="AC5" i="5"/>
  <c r="Q23" i="2"/>
  <c r="Q24" i="2"/>
  <c r="Q25" i="2"/>
  <c r="Q26" i="2"/>
  <c r="Q31" i="2"/>
  <c r="Q32" i="2"/>
  <c r="Q19" i="2"/>
  <c r="Q20" i="2"/>
  <c r="Q22" i="2"/>
  <c r="Q27" i="2"/>
  <c r="Q28" i="2"/>
  <c r="Q29" i="2"/>
  <c r="Q30" i="2"/>
  <c r="Q18" i="2"/>
  <c r="V18" i="2" s="1"/>
  <c r="R11" i="1" s="1"/>
  <c r="R6" i="4" s="1"/>
  <c r="Q21" i="2"/>
  <c r="R12" i="4"/>
  <c r="R3" i="2"/>
  <c r="Q9" i="5"/>
  <c r="R7" i="5" s="1"/>
  <c r="J25" i="1"/>
  <c r="J17" i="1" s="1"/>
  <c r="T22" i="3"/>
  <c r="T17" i="3" s="1"/>
  <c r="U21" i="3" s="1"/>
  <c r="L10" i="1"/>
  <c r="K21" i="1"/>
  <c r="K24" i="1" s="1"/>
  <c r="K27" i="1" s="1"/>
  <c r="O19" i="1" l="1"/>
  <c r="K28" i="1"/>
  <c r="K33" i="1" s="1"/>
  <c r="K34" i="1" s="1"/>
  <c r="AB23" i="1"/>
  <c r="N10" i="3"/>
  <c r="O14" i="3" s="1"/>
  <c r="Q37" i="2"/>
  <c r="AD5" i="5"/>
  <c r="AG13" i="5"/>
  <c r="AG15" i="5" s="1"/>
  <c r="R33" i="2"/>
  <c r="R19" i="2"/>
  <c r="V19" i="2" s="1"/>
  <c r="R20" i="2"/>
  <c r="R29" i="2"/>
  <c r="R30" i="2"/>
  <c r="R31" i="2"/>
  <c r="R28" i="2"/>
  <c r="R21" i="2"/>
  <c r="R22" i="2"/>
  <c r="R23" i="2"/>
  <c r="R24" i="2"/>
  <c r="R25" i="2"/>
  <c r="R26" i="2"/>
  <c r="R27" i="2"/>
  <c r="R32" i="2"/>
  <c r="S12" i="4"/>
  <c r="S3" i="2"/>
  <c r="Q10" i="5"/>
  <c r="R8" i="5"/>
  <c r="R9" i="5" s="1"/>
  <c r="S8" i="5" s="1"/>
  <c r="J8" i="4"/>
  <c r="J19" i="4" s="1"/>
  <c r="J20" i="4" s="1"/>
  <c r="O8" i="3"/>
  <c r="K13" i="4"/>
  <c r="U22" i="3"/>
  <c r="L12" i="1"/>
  <c r="P6" i="1" l="1"/>
  <c r="Q38" i="5" s="1"/>
  <c r="Q35" i="5"/>
  <c r="Q36" i="5"/>
  <c r="Q37" i="5"/>
  <c r="P4" i="1"/>
  <c r="P8" i="1" s="1"/>
  <c r="AC23" i="1"/>
  <c r="K17" i="4"/>
  <c r="K29" i="4" s="1"/>
  <c r="K4" i="4" s="1"/>
  <c r="U17" i="3"/>
  <c r="L14" i="1"/>
  <c r="L15" i="1" s="1"/>
  <c r="L16" i="4" s="1"/>
  <c r="S11" i="1"/>
  <c r="S6" i="4" s="1"/>
  <c r="R37" i="2"/>
  <c r="AH13" i="5"/>
  <c r="AH15" i="5" s="1"/>
  <c r="AE5" i="5"/>
  <c r="S22" i="2"/>
  <c r="S23" i="2"/>
  <c r="S24" i="2"/>
  <c r="S29" i="2"/>
  <c r="S26" i="2"/>
  <c r="S27" i="2"/>
  <c r="S28" i="2"/>
  <c r="S33" i="2"/>
  <c r="S34" i="2"/>
  <c r="S20" i="2"/>
  <c r="V20" i="2" s="1"/>
  <c r="T11" i="1" s="1"/>
  <c r="T6" i="4" s="1"/>
  <c r="S25" i="2"/>
  <c r="S32" i="2"/>
  <c r="S30" i="2"/>
  <c r="S31" i="2"/>
  <c r="S21" i="2"/>
  <c r="T12" i="4"/>
  <c r="T3" i="2"/>
  <c r="S7" i="5"/>
  <c r="S9" i="5" s="1"/>
  <c r="R10" i="5"/>
  <c r="L5" i="4"/>
  <c r="K25" i="1"/>
  <c r="K17" i="1" s="1"/>
  <c r="O3" i="3"/>
  <c r="P7" i="3" s="1"/>
  <c r="M10" i="1"/>
  <c r="L21" i="1"/>
  <c r="L24" i="1" s="1"/>
  <c r="L27" i="1" s="1"/>
  <c r="P19" i="1" l="1"/>
  <c r="Q6" i="1"/>
  <c r="R38" i="5" s="1"/>
  <c r="R35" i="5"/>
  <c r="R37" i="5"/>
  <c r="R36" i="5"/>
  <c r="Q4" i="1"/>
  <c r="Q8" i="1" s="1"/>
  <c r="L28" i="1"/>
  <c r="L33" i="1" s="1"/>
  <c r="L34" i="1" s="1"/>
  <c r="AD23" i="1"/>
  <c r="O15" i="3"/>
  <c r="O14" i="4" s="1"/>
  <c r="O13" i="1"/>
  <c r="O15" i="4" s="1"/>
  <c r="O30" i="4" s="1"/>
  <c r="L16" i="1"/>
  <c r="S37" i="2"/>
  <c r="AF5" i="5"/>
  <c r="AI13" i="5"/>
  <c r="AI15" i="5" s="1"/>
  <c r="U12" i="4"/>
  <c r="U3" i="2"/>
  <c r="V3" i="2" s="1"/>
  <c r="T35" i="2"/>
  <c r="T22" i="2"/>
  <c r="T24" i="2"/>
  <c r="T31" i="2"/>
  <c r="T32" i="2"/>
  <c r="T34" i="2"/>
  <c r="T25" i="2"/>
  <c r="T26" i="2"/>
  <c r="T21" i="2"/>
  <c r="V21" i="2" s="1"/>
  <c r="T33" i="2"/>
  <c r="T27" i="2"/>
  <c r="T29" i="2"/>
  <c r="T30" i="2"/>
  <c r="T23" i="2"/>
  <c r="T28" i="2"/>
  <c r="T7" i="5"/>
  <c r="T8" i="5"/>
  <c r="S10" i="5"/>
  <c r="K8" i="4"/>
  <c r="K19" i="4" s="1"/>
  <c r="K20" i="4" s="1"/>
  <c r="L25" i="1"/>
  <c r="L17" i="1" s="1"/>
  <c r="L13" i="4"/>
  <c r="M12" i="1"/>
  <c r="M21" i="1"/>
  <c r="M24" i="1" s="1"/>
  <c r="Q19" i="1" l="1"/>
  <c r="R6" i="1"/>
  <c r="S38" i="5" s="1"/>
  <c r="S36" i="5"/>
  <c r="S35" i="5"/>
  <c r="S37" i="5"/>
  <c r="R4" i="1"/>
  <c r="R8" i="1" s="1"/>
  <c r="AE23" i="1"/>
  <c r="L17" i="4"/>
  <c r="L29" i="4" s="1"/>
  <c r="L4" i="4" s="1"/>
  <c r="O10" i="3"/>
  <c r="P14" i="3" s="1"/>
  <c r="M14" i="1"/>
  <c r="M15" i="1" s="1"/>
  <c r="M16" i="4" s="1"/>
  <c r="M27" i="1"/>
  <c r="U11" i="1"/>
  <c r="U6" i="4" s="1"/>
  <c r="T37" i="2"/>
  <c r="V12" i="4"/>
  <c r="AJ13" i="5"/>
  <c r="AJ15" i="5" s="1"/>
  <c r="AG5" i="5"/>
  <c r="U22" i="2"/>
  <c r="U36" i="2"/>
  <c r="V36" i="2"/>
  <c r="AJ11" i="1" s="1"/>
  <c r="AJ6" i="4" s="1"/>
  <c r="U27" i="2"/>
  <c r="V27" i="2" s="1"/>
  <c r="AA11" i="1" s="1"/>
  <c r="AA6" i="4" s="1"/>
  <c r="U26" i="2"/>
  <c r="V26" i="2" s="1"/>
  <c r="Z11" i="1" s="1"/>
  <c r="Z6" i="4" s="1"/>
  <c r="U32" i="2"/>
  <c r="V32" i="2" s="1"/>
  <c r="AF11" i="1" s="1"/>
  <c r="AF6" i="4" s="1"/>
  <c r="U33" i="2"/>
  <c r="V33" i="2" s="1"/>
  <c r="AG11" i="1" s="1"/>
  <c r="AG6" i="4" s="1"/>
  <c r="U34" i="2"/>
  <c r="V34" i="2" s="1"/>
  <c r="AH11" i="1" s="1"/>
  <c r="AH6" i="4" s="1"/>
  <c r="U24" i="2"/>
  <c r="V24" i="2" s="1"/>
  <c r="X11" i="1" s="1"/>
  <c r="X6" i="4" s="1"/>
  <c r="U25" i="2"/>
  <c r="V25" i="2" s="1"/>
  <c r="Y11" i="1" s="1"/>
  <c r="Y6" i="4" s="1"/>
  <c r="U23" i="2"/>
  <c r="V23" i="2" s="1"/>
  <c r="W11" i="1" s="1"/>
  <c r="W6" i="4" s="1"/>
  <c r="U28" i="2"/>
  <c r="V28" i="2" s="1"/>
  <c r="AB11" i="1" s="1"/>
  <c r="AB6" i="4" s="1"/>
  <c r="U29" i="2"/>
  <c r="V29" i="2" s="1"/>
  <c r="AC11" i="1" s="1"/>
  <c r="AC6" i="4" s="1"/>
  <c r="U31" i="2"/>
  <c r="V31" i="2" s="1"/>
  <c r="AE11" i="1" s="1"/>
  <c r="AE6" i="4" s="1"/>
  <c r="U30" i="2"/>
  <c r="V30" i="2" s="1"/>
  <c r="AD11" i="1" s="1"/>
  <c r="AD6" i="4" s="1"/>
  <c r="U35" i="2"/>
  <c r="V35" i="2" s="1"/>
  <c r="AI11" i="1" s="1"/>
  <c r="AI6" i="4" s="1"/>
  <c r="T9" i="5"/>
  <c r="U8" i="5" s="1"/>
  <c r="M5" i="4"/>
  <c r="P8" i="3"/>
  <c r="M25" i="1"/>
  <c r="M17" i="1" s="1"/>
  <c r="M13" i="4"/>
  <c r="N10" i="1"/>
  <c r="R19" i="1" l="1"/>
  <c r="M28" i="1"/>
  <c r="M33" i="1" s="1"/>
  <c r="M34" i="1" s="1"/>
  <c r="AF23" i="1"/>
  <c r="M17" i="4"/>
  <c r="M29" i="4" s="1"/>
  <c r="M16" i="1"/>
  <c r="U37" i="2"/>
  <c r="V22" i="2"/>
  <c r="W12" i="4"/>
  <c r="AH5" i="5"/>
  <c r="AK13" i="5"/>
  <c r="AK15" i="5" s="1"/>
  <c r="T10" i="5"/>
  <c r="U7" i="5"/>
  <c r="U9" i="5" s="1"/>
  <c r="L8" i="4"/>
  <c r="L19" i="4" s="1"/>
  <c r="L20" i="4" s="1"/>
  <c r="P3" i="3"/>
  <c r="Q7" i="3" s="1"/>
  <c r="N12" i="1"/>
  <c r="S6" i="1" l="1"/>
  <c r="T38" i="5" s="1"/>
  <c r="T37" i="5"/>
  <c r="T35" i="5"/>
  <c r="T36" i="5"/>
  <c r="S4" i="1"/>
  <c r="S8" i="1" s="1"/>
  <c r="AG23" i="1"/>
  <c r="P15" i="3"/>
  <c r="P14" i="4" s="1"/>
  <c r="P13" i="1"/>
  <c r="P15" i="4" s="1"/>
  <c r="P30" i="4" s="1"/>
  <c r="N14" i="1"/>
  <c r="N15" i="1" s="1"/>
  <c r="N16" i="4" s="1"/>
  <c r="V11" i="1"/>
  <c r="V6" i="4" s="1"/>
  <c r="AL6" i="4" s="1"/>
  <c r="V37" i="2"/>
  <c r="X12" i="4"/>
  <c r="AL13" i="5"/>
  <c r="AL15" i="5" s="1"/>
  <c r="AI5" i="5"/>
  <c r="V8" i="5"/>
  <c r="U10" i="5"/>
  <c r="V7" i="5"/>
  <c r="N5" i="4"/>
  <c r="N21" i="1"/>
  <c r="N24" i="1" s="1"/>
  <c r="N27" i="1" s="1"/>
  <c r="O10" i="1"/>
  <c r="S19" i="1" l="1"/>
  <c r="T6" i="1"/>
  <c r="U38" i="5" s="1"/>
  <c r="U35" i="5"/>
  <c r="U36" i="5"/>
  <c r="U37" i="5"/>
  <c r="T4" i="1"/>
  <c r="T8" i="1" s="1"/>
  <c r="N28" i="1"/>
  <c r="N33" i="1" s="1"/>
  <c r="N34" i="1" s="1"/>
  <c r="AH23" i="1"/>
  <c r="P10" i="3"/>
  <c r="Q14" i="3" s="1"/>
  <c r="N16" i="1"/>
  <c r="Y12" i="4"/>
  <c r="AJ5" i="5"/>
  <c r="V9" i="5"/>
  <c r="W7" i="5" s="1"/>
  <c r="M4" i="4"/>
  <c r="Q8" i="3"/>
  <c r="N25" i="1"/>
  <c r="N17" i="1" s="1"/>
  <c r="N13" i="4"/>
  <c r="O12" i="1"/>
  <c r="T19" i="1" l="1"/>
  <c r="AI23" i="1"/>
  <c r="N17" i="4"/>
  <c r="N29" i="4" s="1"/>
  <c r="N4" i="4" s="1"/>
  <c r="O14" i="1"/>
  <c r="O15" i="1" s="1"/>
  <c r="O16" i="4" s="1"/>
  <c r="Z12" i="4"/>
  <c r="AK5" i="5"/>
  <c r="V10" i="5"/>
  <c r="W8" i="5"/>
  <c r="W9" i="5" s="1"/>
  <c r="X7" i="5" s="1"/>
  <c r="M8" i="4"/>
  <c r="M19" i="4" s="1"/>
  <c r="M20" i="4" s="1"/>
  <c r="O5" i="4"/>
  <c r="Q3" i="3"/>
  <c r="R7" i="3" s="1"/>
  <c r="O21" i="1"/>
  <c r="O24" i="1" s="1"/>
  <c r="O27" i="1" s="1"/>
  <c r="P10" i="1"/>
  <c r="U6" i="1" l="1"/>
  <c r="V38" i="5" s="1"/>
  <c r="V35" i="5"/>
  <c r="V36" i="5"/>
  <c r="V37" i="5"/>
  <c r="U4" i="1"/>
  <c r="U8" i="1" s="1"/>
  <c r="O28" i="1"/>
  <c r="O33" i="1" s="1"/>
  <c r="O34" i="1" s="1"/>
  <c r="AJ23" i="1"/>
  <c r="Q15" i="3"/>
  <c r="Q14" i="4" s="1"/>
  <c r="Q13" i="1"/>
  <c r="Q15" i="4" s="1"/>
  <c r="Q30" i="4" s="1"/>
  <c r="O16" i="1"/>
  <c r="AA12" i="4"/>
  <c r="AL5" i="5"/>
  <c r="AK23" i="1" s="1"/>
  <c r="W10" i="5"/>
  <c r="X8" i="5"/>
  <c r="X9" i="5" s="1"/>
  <c r="N8" i="4"/>
  <c r="N19" i="4" s="1"/>
  <c r="N20" i="4" s="1"/>
  <c r="O13" i="4"/>
  <c r="P12" i="1"/>
  <c r="U19" i="1" l="1"/>
  <c r="V6" i="1"/>
  <c r="W38" i="5" s="1"/>
  <c r="W36" i="5"/>
  <c r="W37" i="5"/>
  <c r="W35" i="5"/>
  <c r="V4" i="1"/>
  <c r="V8" i="1" s="1"/>
  <c r="O17" i="4"/>
  <c r="O29" i="4" s="1"/>
  <c r="O4" i="4" s="1"/>
  <c r="Q10" i="3"/>
  <c r="R14" i="3" s="1"/>
  <c r="P14" i="1"/>
  <c r="P15" i="1" s="1"/>
  <c r="P16" i="4" s="1"/>
  <c r="AB12" i="4"/>
  <c r="Y7" i="5"/>
  <c r="Y8" i="5"/>
  <c r="X10" i="5"/>
  <c r="P5" i="4"/>
  <c r="R8" i="3"/>
  <c r="O25" i="1"/>
  <c r="O17" i="1" s="1"/>
  <c r="P21" i="1"/>
  <c r="P24" i="1" s="1"/>
  <c r="P27" i="1" s="1"/>
  <c r="V19" i="1" l="1"/>
  <c r="W6" i="1"/>
  <c r="X38" i="5" s="1"/>
  <c r="X36" i="5"/>
  <c r="X35" i="5"/>
  <c r="X37" i="5"/>
  <c r="W4" i="1"/>
  <c r="W8" i="1" s="1"/>
  <c r="P28" i="1"/>
  <c r="P33" i="1" s="1"/>
  <c r="P34" i="1" s="1"/>
  <c r="P16" i="1"/>
  <c r="AC12" i="4"/>
  <c r="Y9" i="5"/>
  <c r="Z7" i="5" s="1"/>
  <c r="O8" i="4"/>
  <c r="O19" i="4" s="1"/>
  <c r="O20" i="4" s="1"/>
  <c r="R3" i="3"/>
  <c r="S7" i="3" s="1"/>
  <c r="P13" i="4"/>
  <c r="Q10" i="1"/>
  <c r="W19" i="1" l="1"/>
  <c r="P17" i="4"/>
  <c r="P29" i="4" s="1"/>
  <c r="P4" i="4" s="1"/>
  <c r="R15" i="3"/>
  <c r="R14" i="4" s="1"/>
  <c r="R13" i="1"/>
  <c r="R15" i="4" s="1"/>
  <c r="R30" i="4" s="1"/>
  <c r="AD12" i="4"/>
  <c r="Z8" i="5"/>
  <c r="Z9" i="5" s="1"/>
  <c r="AA8" i="5" s="1"/>
  <c r="Y10" i="5"/>
  <c r="P25" i="1"/>
  <c r="P17" i="1" s="1"/>
  <c r="Q12" i="1"/>
  <c r="R10" i="1"/>
  <c r="Q21" i="1"/>
  <c r="Q24" i="1" s="1"/>
  <c r="X6" i="1" l="1"/>
  <c r="Y38" i="5" s="1"/>
  <c r="Y35" i="5"/>
  <c r="Y36" i="5"/>
  <c r="Y37" i="5"/>
  <c r="X4" i="1"/>
  <c r="X8" i="1" s="1"/>
  <c r="R10" i="3"/>
  <c r="S14" i="3" s="1"/>
  <c r="Q14" i="1"/>
  <c r="Q15" i="1" s="1"/>
  <c r="Q16" i="4" s="1"/>
  <c r="Q27" i="1"/>
  <c r="AE12" i="4"/>
  <c r="Z10" i="5"/>
  <c r="AA7" i="5"/>
  <c r="AA9" i="5" s="1"/>
  <c r="P8" i="4"/>
  <c r="P19" i="4" s="1"/>
  <c r="P20" i="4" s="1"/>
  <c r="Q5" i="4"/>
  <c r="S8" i="3"/>
  <c r="Q25" i="1"/>
  <c r="Q17" i="1" s="1"/>
  <c r="Q13" i="4"/>
  <c r="R12" i="1"/>
  <c r="X19" i="1" l="1"/>
  <c r="Y6" i="1"/>
  <c r="Z38" i="5" s="1"/>
  <c r="Z36" i="5"/>
  <c r="Z37" i="5"/>
  <c r="Z35" i="5"/>
  <c r="Y4" i="1"/>
  <c r="Y8" i="1" s="1"/>
  <c r="Q28" i="1"/>
  <c r="Q33" i="1" s="1"/>
  <c r="Q34" i="1" s="1"/>
  <c r="Q17" i="4"/>
  <c r="Q29" i="4" s="1"/>
  <c r="Q4" i="4" s="1"/>
  <c r="Q16" i="1"/>
  <c r="R14" i="1"/>
  <c r="R15" i="1" s="1"/>
  <c r="R16" i="4" s="1"/>
  <c r="AF12" i="4"/>
  <c r="R5" i="4"/>
  <c r="S3" i="3"/>
  <c r="T7" i="3" s="1"/>
  <c r="S10" i="1"/>
  <c r="R21" i="1"/>
  <c r="R24" i="1" s="1"/>
  <c r="R27" i="1" s="1"/>
  <c r="Y19" i="1" l="1"/>
  <c r="R28" i="1"/>
  <c r="R33" i="1" s="1"/>
  <c r="R34" i="1" s="1"/>
  <c r="S15" i="3"/>
  <c r="S14" i="4" s="1"/>
  <c r="S13" i="1"/>
  <c r="S15" i="4" s="1"/>
  <c r="S30" i="4" s="1"/>
  <c r="R16" i="1"/>
  <c r="AG12" i="4"/>
  <c r="AB7" i="5"/>
  <c r="AB8" i="5"/>
  <c r="AA10" i="5"/>
  <c r="Q8" i="4"/>
  <c r="Q19" i="4" s="1"/>
  <c r="Q20" i="4" s="1"/>
  <c r="R25" i="1"/>
  <c r="R17" i="1" s="1"/>
  <c r="R13" i="4"/>
  <c r="S12" i="1"/>
  <c r="Z6" i="1" l="1"/>
  <c r="AA38" i="5" s="1"/>
  <c r="AA36" i="5"/>
  <c r="AA37" i="5"/>
  <c r="AA35" i="5"/>
  <c r="Z4" i="1"/>
  <c r="Z8" i="1" s="1"/>
  <c r="R17" i="4"/>
  <c r="R29" i="4" s="1"/>
  <c r="R4" i="4" s="1"/>
  <c r="S10" i="3"/>
  <c r="S14" i="1"/>
  <c r="S15" i="1" s="1"/>
  <c r="S16" i="4" s="1"/>
  <c r="AH12" i="4"/>
  <c r="AB9" i="5"/>
  <c r="AC8" i="5" s="1"/>
  <c r="S5" i="4"/>
  <c r="T8" i="3"/>
  <c r="T10" i="1"/>
  <c r="S21" i="1"/>
  <c r="S24" i="1" s="1"/>
  <c r="S27" i="1" s="1"/>
  <c r="Z19" i="1" l="1"/>
  <c r="S28" i="1"/>
  <c r="S33" i="1" s="1"/>
  <c r="S34" i="1" s="1"/>
  <c r="T14" i="3"/>
  <c r="T15" i="3" s="1"/>
  <c r="T14" i="4" s="1"/>
  <c r="S16" i="1"/>
  <c r="AI12" i="4"/>
  <c r="AB10" i="5"/>
  <c r="AC7" i="5"/>
  <c r="AC9" i="5" s="1"/>
  <c r="AD8" i="5" s="1"/>
  <c r="R8" i="4"/>
  <c r="R19" i="4" s="1"/>
  <c r="R20" i="4" s="1"/>
  <c r="T3" i="3"/>
  <c r="S13" i="4"/>
  <c r="T12" i="1"/>
  <c r="T21" i="1"/>
  <c r="T24" i="1" s="1"/>
  <c r="AA6" i="1" l="1"/>
  <c r="AB38" i="5" s="1"/>
  <c r="AB36" i="5"/>
  <c r="AB37" i="5"/>
  <c r="AB35" i="5"/>
  <c r="AA4" i="1"/>
  <c r="AA8" i="1" s="1"/>
  <c r="S17" i="4"/>
  <c r="S29" i="4" s="1"/>
  <c r="S4" i="4" s="1"/>
  <c r="T13" i="1"/>
  <c r="T15" i="4" s="1"/>
  <c r="T30" i="4" s="1"/>
  <c r="T10" i="3"/>
  <c r="U7" i="3"/>
  <c r="T27" i="1"/>
  <c r="AJ12" i="4"/>
  <c r="AD7" i="5"/>
  <c r="AD9" i="5" s="1"/>
  <c r="AE8" i="5" s="1"/>
  <c r="AC10" i="5"/>
  <c r="T5" i="4"/>
  <c r="S25" i="1"/>
  <c r="S17" i="1" s="1"/>
  <c r="T13" i="4"/>
  <c r="U10" i="1"/>
  <c r="AA19" i="1" l="1"/>
  <c r="AB6" i="1"/>
  <c r="AC38" i="5" s="1"/>
  <c r="AC35" i="5"/>
  <c r="AC37" i="5"/>
  <c r="AC36" i="5"/>
  <c r="AB4" i="1"/>
  <c r="AB8" i="1" s="1"/>
  <c r="T28" i="1"/>
  <c r="T33" i="1" s="1"/>
  <c r="T34" i="1" s="1"/>
  <c r="T14" i="1"/>
  <c r="T15" i="1" s="1"/>
  <c r="T16" i="4" s="1"/>
  <c r="T17" i="4" s="1"/>
  <c r="T29" i="4" s="1"/>
  <c r="T4" i="4" s="1"/>
  <c r="U14" i="3"/>
  <c r="U15" i="3" s="1"/>
  <c r="U10" i="3" s="1"/>
  <c r="U8" i="3"/>
  <c r="AK12" i="4"/>
  <c r="AE7" i="5"/>
  <c r="AE9" i="5" s="1"/>
  <c r="AD10" i="5"/>
  <c r="S8" i="4"/>
  <c r="S19" i="4" s="1"/>
  <c r="S20" i="4" s="1"/>
  <c r="T25" i="1"/>
  <c r="T17" i="1" s="1"/>
  <c r="U12" i="1"/>
  <c r="U21" i="1"/>
  <c r="U24" i="1" s="1"/>
  <c r="AB19" i="1" l="1"/>
  <c r="AC6" i="1"/>
  <c r="AD38" i="5" s="1"/>
  <c r="AD35" i="5"/>
  <c r="AD37" i="5"/>
  <c r="AD36" i="5"/>
  <c r="AC4" i="1"/>
  <c r="AC8" i="1" s="1"/>
  <c r="AL12" i="4"/>
  <c r="T16" i="1"/>
  <c r="U14" i="4"/>
  <c r="U3" i="3"/>
  <c r="U13" i="1"/>
  <c r="U15" i="4" s="1"/>
  <c r="U27" i="1"/>
  <c r="AF7" i="5"/>
  <c r="AF8" i="5"/>
  <c r="AE10" i="5"/>
  <c r="T8" i="4"/>
  <c r="T19" i="4" s="1"/>
  <c r="T20" i="4" s="1"/>
  <c r="U5" i="4"/>
  <c r="U25" i="1"/>
  <c r="U17" i="1" s="1"/>
  <c r="U13" i="4"/>
  <c r="V10" i="1"/>
  <c r="AC19" i="1" l="1"/>
  <c r="AD6" i="1"/>
  <c r="AE38" i="5" s="1"/>
  <c r="AE36" i="5"/>
  <c r="AE35" i="5"/>
  <c r="AE37" i="5"/>
  <c r="AD4" i="1"/>
  <c r="AD8" i="1" s="1"/>
  <c r="U28" i="1"/>
  <c r="U33" i="1" s="1"/>
  <c r="U34" i="1" s="1"/>
  <c r="AL15" i="4"/>
  <c r="U30" i="4"/>
  <c r="C32" i="4" s="1"/>
  <c r="AL14" i="4"/>
  <c r="U14" i="1"/>
  <c r="U15" i="1" s="1"/>
  <c r="U16" i="4" s="1"/>
  <c r="U17" i="4" s="1"/>
  <c r="AF9" i="5"/>
  <c r="V12" i="1"/>
  <c r="V21" i="1"/>
  <c r="V24" i="1" s="1"/>
  <c r="W10" i="1"/>
  <c r="AD19" i="1" l="1"/>
  <c r="U29" i="4"/>
  <c r="U4" i="4" s="1"/>
  <c r="U8" i="4" s="1"/>
  <c r="U19" i="4" s="1"/>
  <c r="U20" i="4" s="1"/>
  <c r="U16" i="1"/>
  <c r="V14" i="1"/>
  <c r="V15" i="1" s="1"/>
  <c r="V16" i="4" s="1"/>
  <c r="V27" i="1"/>
  <c r="AG7" i="5"/>
  <c r="AG8" i="5"/>
  <c r="AF10" i="5"/>
  <c r="V5" i="4"/>
  <c r="V25" i="1"/>
  <c r="V17" i="1" s="1"/>
  <c r="V13" i="4"/>
  <c r="W12" i="1"/>
  <c r="AE6" i="1" l="1"/>
  <c r="AF38" i="5" s="1"/>
  <c r="AF35" i="5"/>
  <c r="AF36" i="5"/>
  <c r="AF37" i="5"/>
  <c r="AE4" i="1"/>
  <c r="AE8" i="1" s="1"/>
  <c r="V28" i="1"/>
  <c r="V33" i="1" s="1"/>
  <c r="V34" i="1" s="1"/>
  <c r="V17" i="4"/>
  <c r="V29" i="4" s="1"/>
  <c r="V4" i="4" s="1"/>
  <c r="V16" i="1"/>
  <c r="W14" i="1"/>
  <c r="W15" i="1" s="1"/>
  <c r="W16" i="4" s="1"/>
  <c r="AG9" i="5"/>
  <c r="AH8" i="5" s="1"/>
  <c r="W5" i="4"/>
  <c r="AE19" i="1" l="1"/>
  <c r="W16" i="1"/>
  <c r="AH7" i="5"/>
  <c r="AH9" i="5" s="1"/>
  <c r="AG10" i="5"/>
  <c r="V8" i="4"/>
  <c r="V19" i="4" s="1"/>
  <c r="V20" i="4" s="1"/>
  <c r="X10" i="1"/>
  <c r="W21" i="1"/>
  <c r="W24" i="1" s="1"/>
  <c r="W27" i="1" s="1"/>
  <c r="AF6" i="1" l="1"/>
  <c r="AG38" i="5" s="1"/>
  <c r="AG35" i="5"/>
  <c r="AG36" i="5"/>
  <c r="AG37" i="5"/>
  <c r="AF4" i="1"/>
  <c r="AF8" i="1" s="1"/>
  <c r="W28" i="1"/>
  <c r="W33" i="1" s="1"/>
  <c r="W34" i="1" s="1"/>
  <c r="AI7" i="5"/>
  <c r="AI8" i="5"/>
  <c r="AH10" i="5"/>
  <c r="W13" i="4"/>
  <c r="X12" i="1"/>
  <c r="AF19" i="1" l="1"/>
  <c r="AG6" i="1"/>
  <c r="AH38" i="5" s="1"/>
  <c r="AH35" i="5"/>
  <c r="AH37" i="5"/>
  <c r="AH36" i="5"/>
  <c r="AG4" i="1"/>
  <c r="AG8" i="1" s="1"/>
  <c r="W17" i="4"/>
  <c r="W29" i="4" s="1"/>
  <c r="W4" i="4" s="1"/>
  <c r="X14" i="1"/>
  <c r="X15" i="1" s="1"/>
  <c r="X16" i="4" s="1"/>
  <c r="AI9" i="5"/>
  <c r="X5" i="4"/>
  <c r="W25" i="1"/>
  <c r="W17" i="1" s="1"/>
  <c r="Y10" i="1"/>
  <c r="X21" i="1"/>
  <c r="X24" i="1" s="1"/>
  <c r="X27" i="1" s="1"/>
  <c r="AG19" i="1" l="1"/>
  <c r="X28" i="1"/>
  <c r="X33" i="1" s="1"/>
  <c r="X34" i="1" s="1"/>
  <c r="X16" i="1"/>
  <c r="AJ7" i="5"/>
  <c r="AJ8" i="5"/>
  <c r="AI10" i="5"/>
  <c r="W8" i="4"/>
  <c r="W19" i="4" s="1"/>
  <c r="W20" i="4" s="1"/>
  <c r="X25" i="1"/>
  <c r="X17" i="1" s="1"/>
  <c r="X13" i="4"/>
  <c r="Y12" i="1"/>
  <c r="AH6" i="1" l="1"/>
  <c r="AI38" i="5" s="1"/>
  <c r="AI36" i="5"/>
  <c r="AI35" i="5"/>
  <c r="AI37" i="5"/>
  <c r="AH4" i="1"/>
  <c r="AH8" i="1" s="1"/>
  <c r="X17" i="4"/>
  <c r="X29" i="4" s="1"/>
  <c r="X4" i="4" s="1"/>
  <c r="Y14" i="1"/>
  <c r="Y15" i="1" s="1"/>
  <c r="Y16" i="4" s="1"/>
  <c r="AJ9" i="5"/>
  <c r="Y5" i="4"/>
  <c r="Z10" i="1"/>
  <c r="Y21" i="1"/>
  <c r="Y24" i="1" s="1"/>
  <c r="Y27" i="1" s="1"/>
  <c r="AH19" i="1" l="1"/>
  <c r="Y28" i="1"/>
  <c r="Y33" i="1" s="1"/>
  <c r="Y34" i="1" s="1"/>
  <c r="Y16" i="1"/>
  <c r="AK7" i="5"/>
  <c r="AK8" i="5"/>
  <c r="AJ10" i="5"/>
  <c r="X8" i="4"/>
  <c r="X19" i="4" s="1"/>
  <c r="X20" i="4" s="1"/>
  <c r="Y13" i="4"/>
  <c r="Z12" i="1"/>
  <c r="AA10" i="1"/>
  <c r="Z21" i="1"/>
  <c r="Z24" i="1" s="1"/>
  <c r="AI6" i="1" l="1"/>
  <c r="AJ38" i="5" s="1"/>
  <c r="AJ36" i="5"/>
  <c r="AJ35" i="5"/>
  <c r="AJ37" i="5"/>
  <c r="AI4" i="1"/>
  <c r="AI8" i="1" s="1"/>
  <c r="Y17" i="4"/>
  <c r="Y29" i="4" s="1"/>
  <c r="Y4" i="4" s="1"/>
  <c r="Z14" i="1"/>
  <c r="Z15" i="1" s="1"/>
  <c r="Z16" i="4" s="1"/>
  <c r="Z27" i="1"/>
  <c r="AK9" i="5"/>
  <c r="AL8" i="5" s="1"/>
  <c r="Z5" i="4"/>
  <c r="Y25" i="1"/>
  <c r="Y17" i="1" s="1"/>
  <c r="Z13" i="4"/>
  <c r="AA12" i="1"/>
  <c r="AI19" i="1" l="1"/>
  <c r="Z28" i="1"/>
  <c r="Z33" i="1" s="1"/>
  <c r="Z34" i="1" s="1"/>
  <c r="Z17" i="4"/>
  <c r="Z29" i="4" s="1"/>
  <c r="Z4" i="4" s="1"/>
  <c r="Z16" i="1"/>
  <c r="AA14" i="1"/>
  <c r="AA15" i="1" s="1"/>
  <c r="AA16" i="4" s="1"/>
  <c r="AL7" i="5"/>
  <c r="AL9" i="5" s="1"/>
  <c r="AK10" i="5"/>
  <c r="Y8" i="4"/>
  <c r="Y19" i="4" s="1"/>
  <c r="Y20" i="4" s="1"/>
  <c r="AA5" i="4"/>
  <c r="Z25" i="1"/>
  <c r="Z17" i="1" s="1"/>
  <c r="AB10" i="1"/>
  <c r="AA21" i="1"/>
  <c r="AA24" i="1" s="1"/>
  <c r="AA27" i="1" s="1"/>
  <c r="AJ6" i="1" l="1"/>
  <c r="AK38" i="5" s="1"/>
  <c r="AK35" i="5"/>
  <c r="AK37" i="5"/>
  <c r="AK36" i="5"/>
  <c r="AJ4" i="1"/>
  <c r="AJ8" i="1" s="1"/>
  <c r="AA28" i="1"/>
  <c r="AA33" i="1" s="1"/>
  <c r="AA34" i="1" s="1"/>
  <c r="AA16" i="1"/>
  <c r="AL10" i="5"/>
  <c r="Z8" i="4"/>
  <c r="Z19" i="4" s="1"/>
  <c r="Z20" i="4" s="1"/>
  <c r="AA25" i="1"/>
  <c r="AA17" i="1" s="1"/>
  <c r="AA13" i="4"/>
  <c r="AB12" i="1"/>
  <c r="AC10" i="1"/>
  <c r="AB21" i="1"/>
  <c r="AB24" i="1" s="1"/>
  <c r="AJ19" i="1" l="1"/>
  <c r="AL36" i="5"/>
  <c r="AL35" i="5"/>
  <c r="AL37" i="5"/>
  <c r="AK4" i="1"/>
  <c r="AK8" i="1" s="1"/>
  <c r="AK6" i="1"/>
  <c r="AL38" i="5" s="1"/>
  <c r="AA17" i="4"/>
  <c r="AA29" i="4" s="1"/>
  <c r="AA4" i="4" s="1"/>
  <c r="AB14" i="1"/>
  <c r="AB15" i="1" s="1"/>
  <c r="AB16" i="4" s="1"/>
  <c r="AB27" i="1"/>
  <c r="AB5" i="4"/>
  <c r="AB25" i="1"/>
  <c r="AB17" i="1" s="1"/>
  <c r="AB13" i="4"/>
  <c r="AC12" i="1"/>
  <c r="AB28" i="1" l="1"/>
  <c r="AB33" i="1" s="1"/>
  <c r="AB34" i="1" s="1"/>
  <c r="AB17" i="4"/>
  <c r="AB29" i="4" s="1"/>
  <c r="AB4" i="4" s="1"/>
  <c r="AB16" i="1"/>
  <c r="AC14" i="1"/>
  <c r="AC15" i="1" s="1"/>
  <c r="AC16" i="4" s="1"/>
  <c r="AA8" i="4"/>
  <c r="AA19" i="4" s="1"/>
  <c r="AA20" i="4" s="1"/>
  <c r="AC5" i="4"/>
  <c r="AD10" i="1"/>
  <c r="AC21" i="1"/>
  <c r="AC24" i="1" s="1"/>
  <c r="AC27" i="1" s="1"/>
  <c r="AC28" i="1" l="1"/>
  <c r="AC33" i="1" s="1"/>
  <c r="AC34" i="1" s="1"/>
  <c r="AC16" i="1"/>
  <c r="AB8" i="4"/>
  <c r="AB19" i="4" s="1"/>
  <c r="AB20" i="4" s="1"/>
  <c r="AC25" i="1"/>
  <c r="AC17" i="1" s="1"/>
  <c r="AC13" i="4"/>
  <c r="AD12" i="1"/>
  <c r="AC17" i="4" l="1"/>
  <c r="AC29" i="4" s="1"/>
  <c r="AC4" i="4" s="1"/>
  <c r="AD14" i="1"/>
  <c r="AD15" i="1" s="1"/>
  <c r="AD16" i="4" s="1"/>
  <c r="AD5" i="4"/>
  <c r="AE10" i="1"/>
  <c r="AD21" i="1"/>
  <c r="AD24" i="1" s="1"/>
  <c r="AD27" i="1" s="1"/>
  <c r="AD28" i="1" l="1"/>
  <c r="AD33" i="1" s="1"/>
  <c r="AD34" i="1" s="1"/>
  <c r="AD16" i="1"/>
  <c r="AC8" i="4"/>
  <c r="AC19" i="4" s="1"/>
  <c r="AC20" i="4" s="1"/>
  <c r="AD13" i="4"/>
  <c r="AE12" i="1"/>
  <c r="AD17" i="4" l="1"/>
  <c r="AD29" i="4" s="1"/>
  <c r="AD4" i="4" s="1"/>
  <c r="AE14" i="1"/>
  <c r="AE15" i="1" s="1"/>
  <c r="AE16" i="4" s="1"/>
  <c r="AE5" i="4"/>
  <c r="AD25" i="1"/>
  <c r="AD17" i="1" s="1"/>
  <c r="AF10" i="1"/>
  <c r="AE21" i="1"/>
  <c r="AE24" i="1" s="1"/>
  <c r="AE27" i="1" s="1"/>
  <c r="AE28" i="1" l="1"/>
  <c r="AE33" i="1" s="1"/>
  <c r="AE34" i="1" s="1"/>
  <c r="AE16" i="1"/>
  <c r="AD8" i="4"/>
  <c r="AD19" i="4" s="1"/>
  <c r="AD20" i="4" s="1"/>
  <c r="AE13" i="4"/>
  <c r="AF12" i="1"/>
  <c r="AE17" i="4" l="1"/>
  <c r="AE29" i="4" s="1"/>
  <c r="AE4" i="4" s="1"/>
  <c r="AF14" i="1"/>
  <c r="AF15" i="1" s="1"/>
  <c r="AF16" i="4" s="1"/>
  <c r="AF5" i="4"/>
  <c r="AE25" i="1"/>
  <c r="AE17" i="1" s="1"/>
  <c r="AG10" i="1"/>
  <c r="AF21" i="1"/>
  <c r="AF24" i="1" s="1"/>
  <c r="AF27" i="1" s="1"/>
  <c r="AF28" i="1" l="1"/>
  <c r="AF33" i="1" s="1"/>
  <c r="AF34" i="1" s="1"/>
  <c r="AF16" i="1"/>
  <c r="AE8" i="4"/>
  <c r="AE19" i="4" s="1"/>
  <c r="AE20" i="4" s="1"/>
  <c r="AF13" i="4"/>
  <c r="AG12" i="1"/>
  <c r="AH10" i="1"/>
  <c r="AF17" i="4" l="1"/>
  <c r="AF29" i="4" s="1"/>
  <c r="AF4" i="4" s="1"/>
  <c r="AG14" i="1"/>
  <c r="AG15" i="1" s="1"/>
  <c r="AG16" i="4" s="1"/>
  <c r="AG5" i="4"/>
  <c r="AF25" i="1"/>
  <c r="AF17" i="1" s="1"/>
  <c r="AH12" i="1"/>
  <c r="AG21" i="1"/>
  <c r="AG24" i="1" s="1"/>
  <c r="AG27" i="1" s="1"/>
  <c r="AG28" i="1" l="1"/>
  <c r="AG33" i="1" s="1"/>
  <c r="AG34" i="1" s="1"/>
  <c r="AG16" i="1"/>
  <c r="AH14" i="1"/>
  <c r="AH15" i="1" s="1"/>
  <c r="AH16" i="4" s="1"/>
  <c r="AF8" i="4"/>
  <c r="AF19" i="4" s="1"/>
  <c r="AF20" i="4" s="1"/>
  <c r="AH5" i="4"/>
  <c r="AG13" i="4"/>
  <c r="AG17" i="4" l="1"/>
  <c r="AG29" i="4" s="1"/>
  <c r="AG4" i="4" s="1"/>
  <c r="AH16" i="1"/>
  <c r="AG25" i="1"/>
  <c r="AG17" i="1" s="1"/>
  <c r="AI10" i="1"/>
  <c r="AH21" i="1"/>
  <c r="AH24" i="1" s="1"/>
  <c r="AH27" i="1" s="1"/>
  <c r="AH28" i="1" l="1"/>
  <c r="AH33" i="1" s="1"/>
  <c r="AH34" i="1" s="1"/>
  <c r="AG8" i="4"/>
  <c r="AG19" i="4" s="1"/>
  <c r="AG20" i="4" s="1"/>
  <c r="AH13" i="4"/>
  <c r="AI12" i="1"/>
  <c r="AH17" i="4" l="1"/>
  <c r="AH29" i="4" s="1"/>
  <c r="AH4" i="4" s="1"/>
  <c r="AI14" i="1"/>
  <c r="AI15" i="1" s="1"/>
  <c r="AI16" i="4" s="1"/>
  <c r="AI5" i="4"/>
  <c r="AH25" i="1"/>
  <c r="AH17" i="1" s="1"/>
  <c r="AJ10" i="1"/>
  <c r="AI21" i="1"/>
  <c r="AI24" i="1" s="1"/>
  <c r="AI27" i="1" s="1"/>
  <c r="AI28" i="1" l="1"/>
  <c r="AI33" i="1" s="1"/>
  <c r="AI34" i="1" s="1"/>
  <c r="AI16" i="1"/>
  <c r="AH8" i="4"/>
  <c r="AH19" i="4" s="1"/>
  <c r="AH20" i="4" s="1"/>
  <c r="AI25" i="1"/>
  <c r="AI17" i="1" s="1"/>
  <c r="AI13" i="4"/>
  <c r="AJ12" i="1"/>
  <c r="AI17" i="4" l="1"/>
  <c r="AI29" i="4" s="1"/>
  <c r="AI4" i="4" s="1"/>
  <c r="AJ14" i="1"/>
  <c r="AJ15" i="1" s="1"/>
  <c r="AJ16" i="4" s="1"/>
  <c r="AJ5" i="4"/>
  <c r="AK10" i="1"/>
  <c r="AJ21" i="1"/>
  <c r="AJ24" i="1" s="1"/>
  <c r="AJ27" i="1" s="1"/>
  <c r="AJ28" i="1" l="1"/>
  <c r="AJ33" i="1" s="1"/>
  <c r="AJ34" i="1" s="1"/>
  <c r="AJ16" i="1"/>
  <c r="AI8" i="4"/>
  <c r="AI19" i="4" s="1"/>
  <c r="AI20" i="4" s="1"/>
  <c r="AK21" i="1"/>
  <c r="AK24" i="1" s="1"/>
  <c r="AJ13" i="4"/>
  <c r="AK12" i="1"/>
  <c r="AJ17" i="4" l="1"/>
  <c r="AJ29" i="4" s="1"/>
  <c r="AJ4" i="4" s="1"/>
  <c r="AK14" i="1"/>
  <c r="AK15" i="1" s="1"/>
  <c r="AK16" i="4" s="1"/>
  <c r="AL16" i="4" s="1"/>
  <c r="AK27" i="1"/>
  <c r="AK13" i="4"/>
  <c r="AK5" i="4"/>
  <c r="AL5" i="4" s="1"/>
  <c r="AJ25" i="1"/>
  <c r="AJ17" i="1" s="1"/>
  <c r="AK28" i="1" l="1"/>
  <c r="AK33" i="1" s="1"/>
  <c r="AK34" i="1" s="1"/>
  <c r="D7" i="6" s="1"/>
  <c r="D5" i="6"/>
  <c r="D46" i="5" s="1"/>
  <c r="D4" i="6"/>
  <c r="D6" i="6"/>
  <c r="AK17" i="4"/>
  <c r="AK16" i="1"/>
  <c r="AL13" i="4"/>
  <c r="AJ8" i="4"/>
  <c r="AJ19" i="4" s="1"/>
  <c r="AJ20" i="4" s="1"/>
  <c r="AK25" i="1"/>
  <c r="AK17" i="1" s="1"/>
  <c r="D48" i="5" l="1"/>
  <c r="N6" i="6"/>
  <c r="M6" i="6"/>
  <c r="M4" i="6" s="1"/>
  <c r="D47" i="5"/>
  <c r="K6" i="6"/>
  <c r="D45" i="5"/>
  <c r="AL17" i="4"/>
  <c r="AK29" i="4"/>
  <c r="AK4" i="4" s="1"/>
  <c r="N5" i="6" l="1"/>
  <c r="N4" i="6"/>
  <c r="E7" i="6" s="1"/>
  <c r="E48" i="5" s="1"/>
  <c r="K5" i="6"/>
  <c r="R3" i="6"/>
  <c r="M5" i="6"/>
  <c r="H16" i="6" s="1"/>
  <c r="N48" i="5" s="1"/>
  <c r="Q3" i="6"/>
  <c r="Q7" i="6" s="1"/>
  <c r="U7" i="6" s="1"/>
  <c r="K4" i="6"/>
  <c r="E6" i="6"/>
  <c r="E47" i="5" s="1"/>
  <c r="AK8" i="4"/>
  <c r="AL4" i="4"/>
  <c r="R7" i="6" l="1"/>
  <c r="S7" i="6" s="1"/>
  <c r="T7" i="6" s="1"/>
  <c r="P8" i="6"/>
  <c r="V8" i="6" s="1"/>
  <c r="S4" i="6"/>
  <c r="F4" i="6"/>
  <c r="F45" i="5" s="1"/>
  <c r="F6" i="6"/>
  <c r="F47" i="5" s="1"/>
  <c r="G16" i="6"/>
  <c r="M48" i="5" s="1"/>
  <c r="D16" i="6"/>
  <c r="J48" i="5" s="1"/>
  <c r="C16" i="6"/>
  <c r="I48" i="5" s="1"/>
  <c r="E45" i="5"/>
  <c r="E4" i="6"/>
  <c r="AK19" i="4"/>
  <c r="AL19" i="4" s="1"/>
  <c r="AL8" i="4"/>
  <c r="Q8" i="6" l="1"/>
  <c r="U8" i="6" s="1"/>
  <c r="AK20" i="4"/>
  <c r="R8" i="6" l="1"/>
  <c r="S8" i="6" s="1"/>
  <c r="T8" i="6" s="1"/>
  <c r="P9" i="6"/>
  <c r="V9" i="6" s="1"/>
  <c r="L6" i="6"/>
  <c r="Q9" i="6" l="1"/>
  <c r="E19" i="6"/>
  <c r="L5" i="6"/>
  <c r="L4" i="6"/>
  <c r="D19" i="6"/>
  <c r="R9" i="6" l="1"/>
  <c r="S9" i="6" s="1"/>
  <c r="T9" i="6" s="1"/>
  <c r="U9" i="6"/>
  <c r="P10" i="6"/>
  <c r="V10" i="6" s="1"/>
  <c r="E46" i="5"/>
  <c r="E5" i="6"/>
  <c r="D23" i="6"/>
  <c r="E23" i="6" s="1"/>
  <c r="F5" i="6"/>
  <c r="F46" i="5" s="1"/>
  <c r="F16" i="6"/>
  <c r="L48" i="5" s="1"/>
  <c r="E16" i="6"/>
  <c r="K48" i="5" s="1"/>
  <c r="F20" i="6"/>
  <c r="C23" i="6" s="1"/>
  <c r="I23" i="6" s="1"/>
  <c r="Q10" i="6" l="1"/>
  <c r="U10" i="6" s="1"/>
  <c r="D24" i="6"/>
  <c r="E24" i="6" s="1"/>
  <c r="F24" i="6" s="1"/>
  <c r="H23" i="6"/>
  <c r="C24" i="6"/>
  <c r="I24" i="6" s="1"/>
  <c r="F23" i="6"/>
  <c r="G23" i="6" s="1"/>
  <c r="P11" i="6" l="1"/>
  <c r="V11" i="6" s="1"/>
  <c r="R10" i="6"/>
  <c r="S10" i="6" s="1"/>
  <c r="T10" i="6" s="1"/>
  <c r="C25" i="6"/>
  <c r="I25" i="6" s="1"/>
  <c r="D25" i="6"/>
  <c r="E25" i="6" s="1"/>
  <c r="F25" i="6" s="1"/>
  <c r="H24" i="6"/>
  <c r="Q11" i="6" l="1"/>
  <c r="U11" i="6" s="1"/>
  <c r="D26" i="6"/>
  <c r="E26" i="6" s="1"/>
  <c r="F26" i="6" s="1"/>
  <c r="C26" i="6"/>
  <c r="I26" i="6" s="1"/>
  <c r="H25" i="6"/>
  <c r="R11" i="6" l="1"/>
  <c r="S11" i="6" s="1"/>
  <c r="T11" i="6" s="1"/>
  <c r="P12" i="6"/>
  <c r="Q12" i="6" s="1"/>
  <c r="U12" i="6" s="1"/>
  <c r="C27" i="6"/>
  <c r="I27" i="6" s="1"/>
  <c r="H26" i="6"/>
  <c r="D27" i="6"/>
  <c r="C28" i="6" s="1"/>
  <c r="I28" i="6" s="1"/>
  <c r="R12" i="6" l="1"/>
  <c r="S12" i="6" s="1"/>
  <c r="T12" i="6" s="1"/>
  <c r="P13" i="6"/>
  <c r="V13" i="6" s="1"/>
  <c r="V12" i="6"/>
  <c r="H27" i="6"/>
  <c r="E27" i="6"/>
  <c r="F27" i="6" s="1"/>
  <c r="D28" i="6"/>
  <c r="Q13" i="6" l="1"/>
  <c r="U13" i="6" s="1"/>
  <c r="E28" i="6"/>
  <c r="F28" i="6" s="1"/>
  <c r="C29" i="6"/>
  <c r="I29" i="6" s="1"/>
  <c r="H28" i="6"/>
  <c r="D29" i="6"/>
  <c r="P14" i="6" l="1"/>
  <c r="Q14" i="6" s="1"/>
  <c r="U14" i="6" s="1"/>
  <c r="R13" i="6"/>
  <c r="S13" i="6" s="1"/>
  <c r="T13" i="6" s="1"/>
  <c r="E29" i="6"/>
  <c r="F29" i="6" s="1"/>
  <c r="H29" i="6"/>
  <c r="C30" i="6"/>
  <c r="I30" i="6" s="1"/>
  <c r="D30" i="6"/>
  <c r="V14" i="6" l="1"/>
  <c r="P15" i="6"/>
  <c r="R14" i="6"/>
  <c r="S14" i="6" s="1"/>
  <c r="T14" i="6" s="1"/>
  <c r="E30" i="6"/>
  <c r="F30" i="6" s="1"/>
  <c r="C31" i="6"/>
  <c r="I31" i="6" s="1"/>
  <c r="H30" i="6"/>
  <c r="D31" i="6"/>
  <c r="V15" i="6" l="1"/>
  <c r="Q15" i="6"/>
  <c r="U15" i="6" s="1"/>
  <c r="E31" i="6"/>
  <c r="F31" i="6" s="1"/>
  <c r="C32" i="6"/>
  <c r="I32" i="6" s="1"/>
  <c r="H31" i="6"/>
  <c r="D32" i="6"/>
  <c r="P16" i="6" l="1"/>
  <c r="R15" i="6"/>
  <c r="S15" i="6" s="1"/>
  <c r="T15" i="6" s="1"/>
  <c r="E32" i="6"/>
  <c r="F32" i="6" s="1"/>
  <c r="C33" i="6"/>
  <c r="I33" i="6" s="1"/>
  <c r="H32" i="6"/>
  <c r="D33" i="6"/>
  <c r="Q16" i="6" l="1"/>
  <c r="U16" i="6" s="1"/>
  <c r="V16" i="6"/>
  <c r="E33" i="6"/>
  <c r="F33" i="6" s="1"/>
  <c r="C34" i="6"/>
  <c r="I34" i="6" s="1"/>
  <c r="H33" i="6"/>
  <c r="D34" i="6"/>
  <c r="R16" i="6" l="1"/>
  <c r="S16" i="6" s="1"/>
  <c r="T16" i="6" s="1"/>
  <c r="P17" i="6"/>
  <c r="H34" i="6"/>
  <c r="E34" i="6"/>
  <c r="F34" i="6" s="1"/>
  <c r="C35" i="6"/>
  <c r="I35" i="6" s="1"/>
  <c r="D35" i="6"/>
  <c r="V17" i="6" l="1"/>
  <c r="Q17" i="6"/>
  <c r="U17" i="6" s="1"/>
  <c r="H35" i="6"/>
  <c r="E35" i="6"/>
  <c r="F35" i="6" s="1"/>
  <c r="C36" i="6"/>
  <c r="I36" i="6" s="1"/>
  <c r="D36" i="6"/>
  <c r="P18" i="6" l="1"/>
  <c r="R17" i="6"/>
  <c r="S17" i="6" s="1"/>
  <c r="T17" i="6" s="1"/>
  <c r="C37" i="6"/>
  <c r="I37" i="6" s="1"/>
  <c r="E36" i="6"/>
  <c r="F36" i="6" s="1"/>
  <c r="H36" i="6"/>
  <c r="D37" i="6"/>
  <c r="V18" i="6" l="1"/>
  <c r="Q18" i="6"/>
  <c r="U18" i="6" s="1"/>
  <c r="H37" i="6"/>
  <c r="E37" i="6"/>
  <c r="F37" i="6" s="1"/>
  <c r="C38" i="6"/>
  <c r="I38" i="6" s="1"/>
  <c r="D38" i="6"/>
  <c r="P19" i="6" l="1"/>
  <c r="R18" i="6"/>
  <c r="S18" i="6" s="1"/>
  <c r="T18" i="6" s="1"/>
  <c r="H38" i="6"/>
  <c r="E38" i="6"/>
  <c r="F38" i="6" s="1"/>
  <c r="V19" i="6" l="1"/>
  <c r="Q19" i="6"/>
  <c r="U19" i="6" s="1"/>
  <c r="G24" i="6"/>
  <c r="R19" i="6" l="1"/>
  <c r="S19" i="6" s="1"/>
  <c r="T19" i="6" s="1"/>
  <c r="P20" i="6"/>
  <c r="G25" i="6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V20" i="6" l="1"/>
  <c r="Q20" i="6"/>
  <c r="U20" i="6" s="1"/>
  <c r="P21" i="6" l="1"/>
  <c r="R20" i="6"/>
  <c r="S20" i="6" s="1"/>
  <c r="T20" i="6" l="1"/>
  <c r="V21" i="6"/>
  <c r="Q21" i="6"/>
  <c r="U21" i="6" s="1"/>
  <c r="R21" i="6" l="1"/>
  <c r="S21" i="6" s="1"/>
  <c r="T21" i="6" s="1"/>
  <c r="P22" i="6"/>
  <c r="Q22" i="6" l="1"/>
  <c r="U22" i="6" s="1"/>
  <c r="V22" i="6"/>
  <c r="R22" i="6" l="1"/>
  <c r="S22" i="6" s="1"/>
  <c r="T22" i="6" l="1"/>
  <c r="S23" i="6"/>
</calcChain>
</file>

<file path=xl/sharedStrings.xml><?xml version="1.0" encoding="utf-8"?>
<sst xmlns="http://schemas.openxmlformats.org/spreadsheetml/2006/main" count="326" uniqueCount="189">
  <si>
    <t>Produção (mm boe)</t>
  </si>
  <si>
    <t>Ano1</t>
  </si>
  <si>
    <t>Ano2</t>
  </si>
  <si>
    <t>Ano3</t>
  </si>
  <si>
    <t>Ano4</t>
  </si>
  <si>
    <t>Ano5</t>
  </si>
  <si>
    <t>Ano6</t>
  </si>
  <si>
    <t>Ano7</t>
  </si>
  <si>
    <t>Ano8</t>
  </si>
  <si>
    <t>Ano9</t>
  </si>
  <si>
    <t>Ano10</t>
  </si>
  <si>
    <t>Ano11</t>
  </si>
  <si>
    <t>Ano12</t>
  </si>
  <si>
    <t>Ano13</t>
  </si>
  <si>
    <t>Ano14</t>
  </si>
  <si>
    <t>Ano15</t>
  </si>
  <si>
    <t>Ano16</t>
  </si>
  <si>
    <t>Ano17</t>
  </si>
  <si>
    <t>Ano18</t>
  </si>
  <si>
    <t>Ano19</t>
  </si>
  <si>
    <t>Ano20</t>
  </si>
  <si>
    <t>Ano21</t>
  </si>
  <si>
    <t>Ano22</t>
  </si>
  <si>
    <t>Ano23</t>
  </si>
  <si>
    <t>Ano24</t>
  </si>
  <si>
    <t>Ano25</t>
  </si>
  <si>
    <t>Ano26</t>
  </si>
  <si>
    <t>Ano27</t>
  </si>
  <si>
    <t>Ano28</t>
  </si>
  <si>
    <t>Ano29</t>
  </si>
  <si>
    <t>Ano30</t>
  </si>
  <si>
    <t>Ano31</t>
  </si>
  <si>
    <t>Ano32</t>
  </si>
  <si>
    <t>Ano33</t>
  </si>
  <si>
    <t>Ano34</t>
  </si>
  <si>
    <t>Ano35</t>
  </si>
  <si>
    <t>Inflação $</t>
  </si>
  <si>
    <t>Receitas (mm$)</t>
  </si>
  <si>
    <t>C. Variáveis (mmboe)</t>
  </si>
  <si>
    <t>C. Fixos cash (mm $)</t>
  </si>
  <si>
    <t>Royalties (mm$)</t>
  </si>
  <si>
    <t>EBITDA (mm $)</t>
  </si>
  <si>
    <t xml:space="preserve">Amortizações </t>
  </si>
  <si>
    <t>Fundo de maneio</t>
  </si>
  <si>
    <t>Inv. Fundo de maneio</t>
  </si>
  <si>
    <t>máximo</t>
  </si>
  <si>
    <t>mínimo</t>
  </si>
  <si>
    <t>Factor tendência</t>
  </si>
  <si>
    <t>Clientes (meses)</t>
  </si>
  <si>
    <t>Stocks (meses)</t>
  </si>
  <si>
    <t>Royalties (meses)</t>
  </si>
  <si>
    <t xml:space="preserve">Quadro de amortizações 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</si>
  <si>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</si>
  <si>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</si>
  <si>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</si>
  <si>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</si>
  <si>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</si>
  <si>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</si>
  <si>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</si>
  <si>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</si>
  <si>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</si>
  <si>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</si>
  <si>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</si>
  <si>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</si>
  <si>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</si>
  <si>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</si>
  <si>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</si>
  <si>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</si>
  <si>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</si>
  <si>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</si>
  <si>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</si>
  <si>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</si>
  <si>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</si>
  <si>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</si>
  <si>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</si>
  <si>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</si>
  <si>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</si>
  <si>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</si>
  <si>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</si>
  <si>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Ano 28</t>
  </si>
  <si>
    <t>Ano 29</t>
  </si>
  <si>
    <t>Ano 30</t>
  </si>
  <si>
    <t>Ano 31</t>
  </si>
  <si>
    <t>Total</t>
  </si>
  <si>
    <t>EBIT (mm $)</t>
  </si>
  <si>
    <t xml:space="preserve">Impostos </t>
  </si>
  <si>
    <t>Investimento Total (mm $)</t>
  </si>
  <si>
    <t>Lucro Económico</t>
  </si>
  <si>
    <t>Média</t>
  </si>
  <si>
    <t>D. Padrão</t>
  </si>
  <si>
    <t>L. Inferior</t>
  </si>
  <si>
    <t>L.Superior</t>
  </si>
  <si>
    <t>L.Inferior</t>
  </si>
  <si>
    <t>Projecto E&amp;P: Projecções Financeiras V1</t>
  </si>
  <si>
    <t>Run 0</t>
  </si>
  <si>
    <t>Capital Investido Líquido (mm $)</t>
  </si>
  <si>
    <t>Prazo (anos)</t>
  </si>
  <si>
    <t>Empréstimo 1</t>
  </si>
  <si>
    <t>Serviço Dívida constante</t>
  </si>
  <si>
    <t>Financiamento Alheio (mm $)</t>
  </si>
  <si>
    <t>Empréstimo 2</t>
  </si>
  <si>
    <t>Empréstimo 3</t>
  </si>
  <si>
    <t>Encargos Financeiros no periodo Graça</t>
  </si>
  <si>
    <t>Encargos financeiros Exploração</t>
  </si>
  <si>
    <t>Amortização empréstimo</t>
  </si>
  <si>
    <t>Investimento máximo</t>
  </si>
  <si>
    <t>Ano 32</t>
  </si>
  <si>
    <t>Ano 33</t>
  </si>
  <si>
    <t>Ano 34</t>
  </si>
  <si>
    <t>Ano 35</t>
  </si>
  <si>
    <t xml:space="preserve">ORIGENS </t>
  </si>
  <si>
    <t>ORIGENS E APLICAÇÕES DE FUNDOS</t>
  </si>
  <si>
    <t>Capital Próprio</t>
  </si>
  <si>
    <t>Empréstimos bancários</t>
  </si>
  <si>
    <t>APLICAÇÕES</t>
  </si>
  <si>
    <t>Investimento Fixo</t>
  </si>
  <si>
    <t>Invest. Fundo de Maneio</t>
  </si>
  <si>
    <t>Amortizção empréstimos</t>
  </si>
  <si>
    <t>SALDO</t>
  </si>
  <si>
    <t>SALDO ACUMULADO</t>
  </si>
  <si>
    <t>Invest. fixo médio (mm $ constantes)</t>
  </si>
  <si>
    <t>Investimento Fixo (mm $ correntes)</t>
  </si>
  <si>
    <t>Linha auxiliar do C. Próprio</t>
  </si>
  <si>
    <t>EBIT</t>
  </si>
  <si>
    <t>TIR Projecto</t>
  </si>
  <si>
    <t>Cash Flow Projecto</t>
  </si>
  <si>
    <t>TIR Proj</t>
  </si>
  <si>
    <t xml:space="preserve">Encargos Financeiros </t>
  </si>
  <si>
    <t>Investimento em E &amp; P - PRESSUPOSTOS e INDICADORES - V1</t>
  </si>
  <si>
    <t>Preço Brent ($/bbl)</t>
  </si>
  <si>
    <t>Preço petróleo ($/boe)</t>
  </si>
  <si>
    <t>Cust. váriáveis produção ($/boe)</t>
  </si>
  <si>
    <t>Cust. Fixos base (mm $)</t>
  </si>
  <si>
    <t>Amortizações (anos)</t>
  </si>
  <si>
    <t>Taxa de Impostos (%)</t>
  </si>
  <si>
    <t>Fundo de Maneio</t>
  </si>
  <si>
    <t>Custos cash (meses)</t>
  </si>
  <si>
    <t xml:space="preserve">Investimento mínimo </t>
  </si>
  <si>
    <t>Royalties (%/produção)</t>
  </si>
  <si>
    <t>Taxa de juro base</t>
  </si>
  <si>
    <t>Spread</t>
  </si>
  <si>
    <t>Custo Médio Capital (WACC)</t>
  </si>
  <si>
    <t>VAL(10%)</t>
  </si>
  <si>
    <t xml:space="preserve">        TIR Projecto</t>
  </si>
  <si>
    <t>Lucro Líquido imputado</t>
  </si>
  <si>
    <t>Encargos financeiros (mm $)</t>
  </si>
  <si>
    <t>EBT (mm $)</t>
  </si>
  <si>
    <t>Amortização Empr. (anos exploração)</t>
  </si>
  <si>
    <t>Dados Económicos</t>
  </si>
  <si>
    <t>Dados Operacionais</t>
  </si>
  <si>
    <t>Investimento e Finaciamento</t>
  </si>
  <si>
    <t>Dados Comerciais</t>
  </si>
  <si>
    <t>Desconto Preço petróleo (%)</t>
  </si>
  <si>
    <t>VAL(mm $)</t>
  </si>
  <si>
    <t>VAL (mm $)</t>
  </si>
  <si>
    <t>Benefícios fiscais</t>
  </si>
  <si>
    <t>Impostos</t>
  </si>
  <si>
    <t>VAL</t>
  </si>
  <si>
    <t>Intervalo de classes</t>
  </si>
  <si>
    <t>Intervalos</t>
  </si>
  <si>
    <t>Freq. Abs.</t>
  </si>
  <si>
    <t>Freq. Rel.</t>
  </si>
  <si>
    <t xml:space="preserve">                           Intervalo de Confiança para a média a</t>
  </si>
  <si>
    <t xml:space="preserve">                VAL(13%)</t>
  </si>
  <si>
    <t>FINANCIAMENTO CORPORATIVO -Empresa-mãe</t>
  </si>
  <si>
    <t>Cash Acumulado</t>
  </si>
  <si>
    <t>Valor Mínim</t>
  </si>
  <si>
    <t>VAL (13%)</t>
  </si>
  <si>
    <t xml:space="preserve">                     VAL(10%)</t>
  </si>
  <si>
    <t xml:space="preserve">           VAL(13%)</t>
  </si>
  <si>
    <t xml:space="preserve">      TIR Projecto</t>
  </si>
  <si>
    <t>VAL(10%) em mm $</t>
  </si>
  <si>
    <t>VAL(13%) em mm $</t>
  </si>
  <si>
    <t>TIR Projecto (%)</t>
  </si>
  <si>
    <t>para Prob de</t>
  </si>
  <si>
    <t>ANÁLISE DE RISCO - Tratamento Estatístico</t>
  </si>
  <si>
    <t>Per. Recuperação ( Ano de Rec. Inv.)</t>
  </si>
  <si>
    <t xml:space="preserve">           VAL(10%)</t>
  </si>
  <si>
    <t>Intervalo de confiança p/a média a</t>
  </si>
  <si>
    <t>TIR</t>
  </si>
  <si>
    <t>1-Freq. Ac.</t>
  </si>
  <si>
    <t>P. Rec.</t>
  </si>
  <si>
    <t xml:space="preserve">                     Intervalo de classes</t>
  </si>
  <si>
    <t>NPA</t>
  </si>
  <si>
    <t>Custos Fixos (auxiliar) com limites</t>
  </si>
  <si>
    <t>menos</t>
  </si>
  <si>
    <t>mais</t>
  </si>
  <si>
    <t>indexado ao preço do petróleo</t>
  </si>
  <si>
    <t>Produção média  (mm boe/ano)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</si>
</sst>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0.0%"/>
    <numFmt numFmtId="165" formatCode="0.000"/>
    <numFmt numFmtId="166" formatCode="0.0"/>
    <numFmt numFmtId="167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4" xfId="0" applyBorder="1"/>
    <xf numFmtId="166" fontId="2" fillId="0" borderId="4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0" xfId="0" applyAlignment="1"/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2" xfId="0" applyBorder="1"/>
    <xf numFmtId="9" fontId="2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9" fontId="0" fillId="0" borderId="0" xfId="0" applyNumberFormat="1"/>
    <xf numFmtId="8" fontId="0" fillId="0" borderId="0" xfId="0" applyNumberFormat="1"/>
    <xf numFmtId="9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2" borderId="0" xfId="0" applyFill="1"/>
    <xf numFmtId="8" fontId="0" fillId="0" borderId="0" xfId="0" applyNumberFormat="1" applyAlignment="1">
      <alignment horizontal="center"/>
    </xf>
    <xf numFmtId="166" fontId="0" fillId="0" borderId="0" xfId="0" applyNumberFormat="1"/>
    <xf numFmtId="165" fontId="0" fillId="0" borderId="0" xfId="0" applyNumberFormat="1" applyAlignment="1"/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1" xfId="0" applyBorder="1"/>
    <xf numFmtId="9" fontId="1" fillId="0" borderId="0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1" fontId="1" fillId="2" borderId="0" xfId="0" applyNumberFormat="1" applyFont="1" applyFill="1" applyBorder="1" applyAlignment="1">
      <alignment horizontal="center"/>
    </xf>
    <xf numFmtId="9" fontId="0" fillId="0" borderId="7" xfId="0" applyNumberFormat="1" applyBorder="1"/>
    <xf numFmtId="8" fontId="0" fillId="0" borderId="7" xfId="0" applyNumberFormat="1" applyBorder="1"/>
    <xf numFmtId="10" fontId="0" fillId="0" borderId="0" xfId="0" applyNumberFormat="1"/>
    <xf numFmtId="0" fontId="1" fillId="0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 DO VAL (13%)</a:t>
            </a:r>
          </a:p>
        </c:rich>
      </c:tx>
      <c:layout>
        <c:manualLayout>
          <c:xMode val="edge"/>
          <c:yMode val="edge"/>
          <c:x val="0.2802345975409790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multiLvlStrRef>
              <c:f>Folha5!$H$23:$I$38</c:f>
              <c:multiLvlStrCache>
                <c:ptCount val="16"/>
                <c:lvl>
                  <c:pt idx="0">
                    <c:v>-190</c:v>
                  </c:pt>
                  <c:pt idx="1">
                    <c:v>-144</c:v>
                  </c:pt>
                  <c:pt idx="2">
                    <c:v>-56</c:v>
                  </c:pt>
                  <c:pt idx="3">
                    <c:v>32</c:v>
                  </c:pt>
                  <c:pt idx="4">
                    <c:v>120</c:v>
                  </c:pt>
                  <c:pt idx="5">
                    <c:v>208</c:v>
                  </c:pt>
                  <c:pt idx="6">
                    <c:v>296</c:v>
                  </c:pt>
                  <c:pt idx="7">
                    <c:v>384</c:v>
                  </c:pt>
                  <c:pt idx="8">
                    <c:v>472</c:v>
                  </c:pt>
                  <c:pt idx="9">
                    <c:v>560</c:v>
                  </c:pt>
                  <c:pt idx="10">
                    <c:v>648</c:v>
                  </c:pt>
                  <c:pt idx="11">
                    <c:v>736</c:v>
                  </c:pt>
                  <c:pt idx="12">
                    <c:v>824</c:v>
                  </c:pt>
                  <c:pt idx="13">
                    <c:v>912</c:v>
                  </c:pt>
                  <c:pt idx="14">
                    <c:v>1000</c:v>
                  </c:pt>
                  <c:pt idx="15">
                    <c:v>1088</c:v>
                  </c:pt>
                </c:lvl>
                <c:lvl>
                  <c:pt idx="0">
                    <c:v>-145</c:v>
                  </c:pt>
                  <c:pt idx="1">
                    <c:v>-57</c:v>
                  </c:pt>
                  <c:pt idx="2">
                    <c:v>31</c:v>
                  </c:pt>
                  <c:pt idx="3">
                    <c:v>119</c:v>
                  </c:pt>
                  <c:pt idx="4">
                    <c:v>207</c:v>
                  </c:pt>
                  <c:pt idx="5">
                    <c:v>295</c:v>
                  </c:pt>
                  <c:pt idx="6">
                    <c:v>383</c:v>
                  </c:pt>
                  <c:pt idx="7">
                    <c:v>471</c:v>
                  </c:pt>
                  <c:pt idx="8">
                    <c:v>559</c:v>
                  </c:pt>
                  <c:pt idx="9">
                    <c:v>647</c:v>
                  </c:pt>
                  <c:pt idx="10">
                    <c:v>735</c:v>
                  </c:pt>
                  <c:pt idx="11">
                    <c:v>823</c:v>
                  </c:pt>
                  <c:pt idx="12">
                    <c:v>911</c:v>
                  </c:pt>
                  <c:pt idx="13">
                    <c:v>999</c:v>
                  </c:pt>
                  <c:pt idx="14">
                    <c:v>1087</c:v>
                  </c:pt>
                  <c:pt idx="15">
                    <c:v>1175</c:v>
                  </c:pt>
                </c:lvl>
              </c:multiLvlStrCache>
            </c:multiLvlStrRef>
          </c:cat>
          <c:val>
            <c:numRef>
              <c:f>Folha5!$F$23:$F$38</c:f>
              <c:numCache>
                <c:formatCode>0.0%</c:formatCode>
                <c:ptCount val="16"/>
                <c:pt idx="0">
                  <c:v>9.9009900990099011E-3</c:v>
                </c:pt>
                <c:pt idx="1">
                  <c:v>1.9801980198019802E-2</c:v>
                </c:pt>
                <c:pt idx="2">
                  <c:v>5.9405940594059403E-2</c:v>
                </c:pt>
                <c:pt idx="3">
                  <c:v>9.9009900990099015E-2</c:v>
                </c:pt>
                <c:pt idx="4">
                  <c:v>9.9009900990099015E-2</c:v>
                </c:pt>
                <c:pt idx="5">
                  <c:v>0.18811881188118812</c:v>
                </c:pt>
                <c:pt idx="6">
                  <c:v>0.16831683168316833</c:v>
                </c:pt>
                <c:pt idx="7">
                  <c:v>8.9108910891089105E-2</c:v>
                </c:pt>
                <c:pt idx="8">
                  <c:v>0.10891089108910891</c:v>
                </c:pt>
                <c:pt idx="9">
                  <c:v>3.9603960396039604E-2</c:v>
                </c:pt>
                <c:pt idx="10">
                  <c:v>3.9603960396039604E-2</c:v>
                </c:pt>
                <c:pt idx="11">
                  <c:v>4.9504950495049507E-2</c:v>
                </c:pt>
                <c:pt idx="12">
                  <c:v>0</c:v>
                </c:pt>
                <c:pt idx="13">
                  <c:v>1.9801980198019802E-2</c:v>
                </c:pt>
                <c:pt idx="14">
                  <c:v>0</c:v>
                </c:pt>
                <c:pt idx="15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C-48F7-A0C5-7F6DAA60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809162288"/>
        <c:axId val="809168848"/>
        <c:axId val="0"/>
      </c:bar3DChart>
      <c:catAx>
        <c:axId val="80916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9168848"/>
        <c:crosses val="autoZero"/>
        <c:auto val="1"/>
        <c:lblAlgn val="ctr"/>
        <c:lblOffset val="100"/>
        <c:noMultiLvlLbl val="0"/>
      </c:catAx>
      <c:valAx>
        <c:axId val="80916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916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(%) Pro(VAL ≥ X</a:t>
            </a:r>
            <a:r>
              <a:rPr lang="pt-PT"/>
              <a:t>)</a:t>
            </a:r>
          </a:p>
        </c:rich>
      </c:tx>
      <c:layout>
        <c:manualLayout>
          <c:xMode val="edge"/>
          <c:yMode val="edge"/>
          <c:x val="0.35704016913319236"/>
          <c:y val="0.13355590313586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Folha5!$H$23:$I$38</c:f>
              <c:multiLvlStrCache>
                <c:ptCount val="16"/>
                <c:lvl>
                  <c:pt idx="0">
                    <c:v>-190</c:v>
                  </c:pt>
                  <c:pt idx="1">
                    <c:v>-144</c:v>
                  </c:pt>
                  <c:pt idx="2">
                    <c:v>-56</c:v>
                  </c:pt>
                  <c:pt idx="3">
                    <c:v>32</c:v>
                  </c:pt>
                  <c:pt idx="4">
                    <c:v>120</c:v>
                  </c:pt>
                  <c:pt idx="5">
                    <c:v>208</c:v>
                  </c:pt>
                  <c:pt idx="6">
                    <c:v>296</c:v>
                  </c:pt>
                  <c:pt idx="7">
                    <c:v>384</c:v>
                  </c:pt>
                  <c:pt idx="8">
                    <c:v>472</c:v>
                  </c:pt>
                  <c:pt idx="9">
                    <c:v>560</c:v>
                  </c:pt>
                  <c:pt idx="10">
                    <c:v>648</c:v>
                  </c:pt>
                  <c:pt idx="11">
                    <c:v>736</c:v>
                  </c:pt>
                  <c:pt idx="12">
                    <c:v>824</c:v>
                  </c:pt>
                  <c:pt idx="13">
                    <c:v>912</c:v>
                  </c:pt>
                  <c:pt idx="14">
                    <c:v>1000</c:v>
                  </c:pt>
                  <c:pt idx="15">
                    <c:v>1088</c:v>
                  </c:pt>
                </c:lvl>
                <c:lvl>
                  <c:pt idx="0">
                    <c:v>-145</c:v>
                  </c:pt>
                  <c:pt idx="1">
                    <c:v>-57</c:v>
                  </c:pt>
                  <c:pt idx="2">
                    <c:v>31</c:v>
                  </c:pt>
                  <c:pt idx="3">
                    <c:v>119</c:v>
                  </c:pt>
                  <c:pt idx="4">
                    <c:v>207</c:v>
                  </c:pt>
                  <c:pt idx="5">
                    <c:v>295</c:v>
                  </c:pt>
                  <c:pt idx="6">
                    <c:v>383</c:v>
                  </c:pt>
                  <c:pt idx="7">
                    <c:v>471</c:v>
                  </c:pt>
                  <c:pt idx="8">
                    <c:v>559</c:v>
                  </c:pt>
                  <c:pt idx="9">
                    <c:v>647</c:v>
                  </c:pt>
                  <c:pt idx="10">
                    <c:v>735</c:v>
                  </c:pt>
                  <c:pt idx="11">
                    <c:v>823</c:v>
                  </c:pt>
                  <c:pt idx="12">
                    <c:v>911</c:v>
                  </c:pt>
                  <c:pt idx="13">
                    <c:v>999</c:v>
                  </c:pt>
                  <c:pt idx="14">
                    <c:v>1087</c:v>
                  </c:pt>
                  <c:pt idx="15">
                    <c:v>1175</c:v>
                  </c:pt>
                </c:lvl>
              </c:multiLvlStrCache>
            </c:multiLvlStrRef>
          </c:cat>
          <c:val>
            <c:numRef>
              <c:f>Folha5!$G$23:$G$38</c:f>
              <c:numCache>
                <c:formatCode>0.0%</c:formatCode>
                <c:ptCount val="16"/>
                <c:pt idx="0">
                  <c:v>0.99009900990099009</c:v>
                </c:pt>
                <c:pt idx="1">
                  <c:v>0.97029702970297027</c:v>
                </c:pt>
                <c:pt idx="2">
                  <c:v>0.91089108910891081</c:v>
                </c:pt>
                <c:pt idx="3">
                  <c:v>0.81188118811881183</c:v>
                </c:pt>
                <c:pt idx="4">
                  <c:v>0.71287128712871284</c:v>
                </c:pt>
                <c:pt idx="5">
                  <c:v>0.52475247524752477</c:v>
                </c:pt>
                <c:pt idx="6">
                  <c:v>0.35643564356435642</c:v>
                </c:pt>
                <c:pt idx="7">
                  <c:v>0.26732673267326734</c:v>
                </c:pt>
                <c:pt idx="8">
                  <c:v>0.15841584158415845</c:v>
                </c:pt>
                <c:pt idx="9">
                  <c:v>0.11881188118811883</c:v>
                </c:pt>
                <c:pt idx="10">
                  <c:v>7.9207920792079223E-2</c:v>
                </c:pt>
                <c:pt idx="11">
                  <c:v>2.9702970297029715E-2</c:v>
                </c:pt>
                <c:pt idx="12">
                  <c:v>2.9702970297029715E-2</c:v>
                </c:pt>
                <c:pt idx="13">
                  <c:v>9.9009900990099133E-3</c:v>
                </c:pt>
                <c:pt idx="14">
                  <c:v>9.9009900990099133E-3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E0B-A63D-804CE7A68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803235280"/>
        <c:axId val="803230360"/>
        <c:axId val="610812792"/>
      </c:bar3DChart>
      <c:catAx>
        <c:axId val="80323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3230360"/>
        <c:crosses val="autoZero"/>
        <c:auto val="1"/>
        <c:lblAlgn val="ctr"/>
        <c:lblOffset val="100"/>
        <c:noMultiLvlLbl val="0"/>
      </c:catAx>
      <c:valAx>
        <c:axId val="80323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3235280"/>
        <c:crosses val="autoZero"/>
        <c:crossBetween val="between"/>
      </c:valAx>
      <c:serAx>
        <c:axId val="61081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80323036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</a:t>
            </a:r>
            <a:r>
              <a:rPr lang="pt-PT" baseline="0"/>
              <a:t>  DA TIR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140344397248855"/>
          <c:y val="7.7408084498131441E-2"/>
          <c:w val="0.77281315051135846"/>
          <c:h val="0.72402978408422813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multiLvlStrRef>
              <c:f>Folha5!$U$7:$V$22</c:f>
              <c:multiLvlStrCache>
                <c:ptCount val="16"/>
                <c:lvl>
                  <c:pt idx="0">
                    <c:v>0,0</c:v>
                  </c:pt>
                  <c:pt idx="1">
                    <c:v>8,7</c:v>
                  </c:pt>
                  <c:pt idx="2">
                    <c:v>10,1</c:v>
                  </c:pt>
                  <c:pt idx="3">
                    <c:v>11,5</c:v>
                  </c:pt>
                  <c:pt idx="4">
                    <c:v>12,9</c:v>
                  </c:pt>
                  <c:pt idx="5">
                    <c:v>14,3</c:v>
                  </c:pt>
                  <c:pt idx="6">
                    <c:v>15,8</c:v>
                  </c:pt>
                  <c:pt idx="7">
                    <c:v>17,2</c:v>
                  </c:pt>
                  <c:pt idx="8">
                    <c:v>18,6</c:v>
                  </c:pt>
                  <c:pt idx="9">
                    <c:v>20,0</c:v>
                  </c:pt>
                  <c:pt idx="10">
                    <c:v>21,4</c:v>
                  </c:pt>
                  <c:pt idx="11">
                    <c:v>22,8</c:v>
                  </c:pt>
                  <c:pt idx="12">
                    <c:v>24,2</c:v>
                  </c:pt>
                  <c:pt idx="13">
                    <c:v>25,6</c:v>
                  </c:pt>
                  <c:pt idx="14">
                    <c:v>27,0</c:v>
                  </c:pt>
                  <c:pt idx="15">
                    <c:v>28,4</c:v>
                  </c:pt>
                </c:lvl>
                <c:lvl>
                  <c:pt idx="0">
                    <c:v>8,7</c:v>
                  </c:pt>
                  <c:pt idx="1">
                    <c:v>10,0</c:v>
                  </c:pt>
                  <c:pt idx="2">
                    <c:v>11,4</c:v>
                  </c:pt>
                  <c:pt idx="3">
                    <c:v>12,8</c:v>
                  </c:pt>
                  <c:pt idx="4">
                    <c:v>14,2</c:v>
                  </c:pt>
                  <c:pt idx="5">
                    <c:v>15,7</c:v>
                  </c:pt>
                  <c:pt idx="6">
                    <c:v>17,1</c:v>
                  </c:pt>
                  <c:pt idx="7">
                    <c:v>18,5</c:v>
                  </c:pt>
                  <c:pt idx="8">
                    <c:v>19,9</c:v>
                  </c:pt>
                  <c:pt idx="9">
                    <c:v>21,3</c:v>
                  </c:pt>
                  <c:pt idx="10">
                    <c:v>22,7</c:v>
                  </c:pt>
                  <c:pt idx="11">
                    <c:v>24,1</c:v>
                  </c:pt>
                  <c:pt idx="12">
                    <c:v>25,5</c:v>
                  </c:pt>
                  <c:pt idx="13">
                    <c:v>26,9</c:v>
                  </c:pt>
                  <c:pt idx="14">
                    <c:v>28,3</c:v>
                  </c:pt>
                  <c:pt idx="15">
                    <c:v>29,8</c:v>
                  </c:pt>
                </c:lvl>
              </c:multiLvlStrCache>
            </c:multiLvlStrRef>
          </c:cat>
          <c:val>
            <c:numRef>
              <c:f>Folha5!$S$7:$S$22</c:f>
              <c:numCache>
                <c:formatCode>0.00%</c:formatCode>
                <c:ptCount val="16"/>
                <c:pt idx="0">
                  <c:v>9.9009900990099011E-3</c:v>
                </c:pt>
                <c:pt idx="1">
                  <c:v>0</c:v>
                </c:pt>
                <c:pt idx="2">
                  <c:v>2.9702970297029702E-2</c:v>
                </c:pt>
                <c:pt idx="3">
                  <c:v>0</c:v>
                </c:pt>
                <c:pt idx="4">
                  <c:v>5.9405940594059403E-2</c:v>
                </c:pt>
                <c:pt idx="5">
                  <c:v>8.9108910891089105E-2</c:v>
                </c:pt>
                <c:pt idx="6">
                  <c:v>9.9009900990099015E-2</c:v>
                </c:pt>
                <c:pt idx="7">
                  <c:v>0.14851485148514851</c:v>
                </c:pt>
                <c:pt idx="8">
                  <c:v>0.16831683168316833</c:v>
                </c:pt>
                <c:pt idx="9">
                  <c:v>0.12871287128712872</c:v>
                </c:pt>
                <c:pt idx="10">
                  <c:v>0.10891089108910891</c:v>
                </c:pt>
                <c:pt idx="11">
                  <c:v>4.9504950495049507E-2</c:v>
                </c:pt>
                <c:pt idx="12">
                  <c:v>3.9603960396039604E-2</c:v>
                </c:pt>
                <c:pt idx="13">
                  <c:v>4.9504950495049507E-2</c:v>
                </c:pt>
                <c:pt idx="14">
                  <c:v>1.9801980198019802E-2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E-457A-821E-63358C57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21918936"/>
        <c:axId val="521913032"/>
        <c:axId val="768121288"/>
      </c:bar3DChart>
      <c:catAx>
        <c:axId val="52191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1913032"/>
        <c:crosses val="autoZero"/>
        <c:auto val="1"/>
        <c:lblAlgn val="ctr"/>
        <c:lblOffset val="100"/>
        <c:noMultiLvlLbl val="0"/>
      </c:catAx>
      <c:valAx>
        <c:axId val="52191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1918936"/>
        <c:crosses val="autoZero"/>
        <c:crossBetween val="between"/>
        <c:majorUnit val="5.000000000000001E-2"/>
      </c:valAx>
      <c:serAx>
        <c:axId val="7681212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191303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(%) Prob(TIR≥X)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Folha5!$U$7:$V$22</c:f>
              <c:multiLvlStrCache>
                <c:ptCount val="16"/>
                <c:lvl>
                  <c:pt idx="0">
                    <c:v>0,0</c:v>
                  </c:pt>
                  <c:pt idx="1">
                    <c:v>8,7</c:v>
                  </c:pt>
                  <c:pt idx="2">
                    <c:v>10,1</c:v>
                  </c:pt>
                  <c:pt idx="3">
                    <c:v>11,5</c:v>
                  </c:pt>
                  <c:pt idx="4">
                    <c:v>12,9</c:v>
                  </c:pt>
                  <c:pt idx="5">
                    <c:v>14,3</c:v>
                  </c:pt>
                  <c:pt idx="6">
                    <c:v>15,8</c:v>
                  </c:pt>
                  <c:pt idx="7">
                    <c:v>17,2</c:v>
                  </c:pt>
                  <c:pt idx="8">
                    <c:v>18,6</c:v>
                  </c:pt>
                  <c:pt idx="9">
                    <c:v>20,0</c:v>
                  </c:pt>
                  <c:pt idx="10">
                    <c:v>21,4</c:v>
                  </c:pt>
                  <c:pt idx="11">
                    <c:v>22,8</c:v>
                  </c:pt>
                  <c:pt idx="12">
                    <c:v>24,2</c:v>
                  </c:pt>
                  <c:pt idx="13">
                    <c:v>25,6</c:v>
                  </c:pt>
                  <c:pt idx="14">
                    <c:v>27,0</c:v>
                  </c:pt>
                  <c:pt idx="15">
                    <c:v>28,4</c:v>
                  </c:pt>
                </c:lvl>
                <c:lvl>
                  <c:pt idx="0">
                    <c:v>8,7</c:v>
                  </c:pt>
                  <c:pt idx="1">
                    <c:v>10,0</c:v>
                  </c:pt>
                  <c:pt idx="2">
                    <c:v>11,4</c:v>
                  </c:pt>
                  <c:pt idx="3">
                    <c:v>12,8</c:v>
                  </c:pt>
                  <c:pt idx="4">
                    <c:v>14,2</c:v>
                  </c:pt>
                  <c:pt idx="5">
                    <c:v>15,7</c:v>
                  </c:pt>
                  <c:pt idx="6">
                    <c:v>17,1</c:v>
                  </c:pt>
                  <c:pt idx="7">
                    <c:v>18,5</c:v>
                  </c:pt>
                  <c:pt idx="8">
                    <c:v>19,9</c:v>
                  </c:pt>
                  <c:pt idx="9">
                    <c:v>21,3</c:v>
                  </c:pt>
                  <c:pt idx="10">
                    <c:v>22,7</c:v>
                  </c:pt>
                  <c:pt idx="11">
                    <c:v>24,1</c:v>
                  </c:pt>
                  <c:pt idx="12">
                    <c:v>25,5</c:v>
                  </c:pt>
                  <c:pt idx="13">
                    <c:v>26,9</c:v>
                  </c:pt>
                  <c:pt idx="14">
                    <c:v>28,3</c:v>
                  </c:pt>
                  <c:pt idx="15">
                    <c:v>29,8</c:v>
                  </c:pt>
                </c:lvl>
              </c:multiLvlStrCache>
            </c:multiLvlStrRef>
          </c:cat>
          <c:val>
            <c:numRef>
              <c:f>Folha5!$T$7:$T$22</c:f>
              <c:numCache>
                <c:formatCode>0.00%</c:formatCode>
                <c:ptCount val="16"/>
                <c:pt idx="0">
                  <c:v>0.99009900990099009</c:v>
                </c:pt>
                <c:pt idx="1">
                  <c:v>0.99009900990099009</c:v>
                </c:pt>
                <c:pt idx="2">
                  <c:v>0.96039603960396036</c:v>
                </c:pt>
                <c:pt idx="3">
                  <c:v>0.96039603960396036</c:v>
                </c:pt>
                <c:pt idx="4">
                  <c:v>0.9009900990099009</c:v>
                </c:pt>
                <c:pt idx="5">
                  <c:v>0.81188118811881183</c:v>
                </c:pt>
                <c:pt idx="6">
                  <c:v>0.71287128712871284</c:v>
                </c:pt>
                <c:pt idx="7">
                  <c:v>0.5643564356435643</c:v>
                </c:pt>
                <c:pt idx="8">
                  <c:v>0.39603960396039595</c:v>
                </c:pt>
                <c:pt idx="9">
                  <c:v>0.26732673267326723</c:v>
                </c:pt>
                <c:pt idx="10">
                  <c:v>0.15841584158415833</c:v>
                </c:pt>
                <c:pt idx="11">
                  <c:v>0.10891089108910883</c:v>
                </c:pt>
                <c:pt idx="12">
                  <c:v>6.930693069306923E-2</c:v>
                </c:pt>
                <c:pt idx="13">
                  <c:v>1.9801980198019722E-2</c:v>
                </c:pt>
                <c:pt idx="14">
                  <c:v>-7.9797279894933126E-17</c:v>
                </c:pt>
                <c:pt idx="15">
                  <c:v>-7.9797279894933126E-17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9-44D3-9106-F8C83CBF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45987192"/>
        <c:axId val="645991784"/>
        <c:axId val="768114448"/>
      </c:bar3DChart>
      <c:catAx>
        <c:axId val="64598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91784"/>
        <c:crosses val="autoZero"/>
        <c:auto val="1"/>
        <c:lblAlgn val="ctr"/>
        <c:lblOffset val="100"/>
        <c:noMultiLvlLbl val="0"/>
      </c:catAx>
      <c:valAx>
        <c:axId val="645991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87192"/>
        <c:crosses val="autoZero"/>
        <c:crossBetween val="between"/>
        <c:majorUnit val="0.2"/>
      </c:valAx>
      <c:serAx>
        <c:axId val="768114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9178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 DO VAL (13%)</a:t>
            </a:r>
          </a:p>
        </c:rich>
      </c:tx>
      <c:layout>
        <c:manualLayout>
          <c:xMode val="edge"/>
          <c:yMode val="edge"/>
          <c:x val="0.2802345975409790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multiLvlStrRef>
              <c:f>Folha5!$H$23:$I$38</c:f>
              <c:multiLvlStrCache>
                <c:ptCount val="16"/>
                <c:lvl>
                  <c:pt idx="0">
                    <c:v>-190</c:v>
                  </c:pt>
                  <c:pt idx="1">
                    <c:v>-144</c:v>
                  </c:pt>
                  <c:pt idx="2">
                    <c:v>-56</c:v>
                  </c:pt>
                  <c:pt idx="3">
                    <c:v>32</c:v>
                  </c:pt>
                  <c:pt idx="4">
                    <c:v>120</c:v>
                  </c:pt>
                  <c:pt idx="5">
                    <c:v>208</c:v>
                  </c:pt>
                  <c:pt idx="6">
                    <c:v>296</c:v>
                  </c:pt>
                  <c:pt idx="7">
                    <c:v>384</c:v>
                  </c:pt>
                  <c:pt idx="8">
                    <c:v>472</c:v>
                  </c:pt>
                  <c:pt idx="9">
                    <c:v>560</c:v>
                  </c:pt>
                  <c:pt idx="10">
                    <c:v>648</c:v>
                  </c:pt>
                  <c:pt idx="11">
                    <c:v>736</c:v>
                  </c:pt>
                  <c:pt idx="12">
                    <c:v>824</c:v>
                  </c:pt>
                  <c:pt idx="13">
                    <c:v>912</c:v>
                  </c:pt>
                  <c:pt idx="14">
                    <c:v>1000</c:v>
                  </c:pt>
                  <c:pt idx="15">
                    <c:v>1088</c:v>
                  </c:pt>
                </c:lvl>
                <c:lvl>
                  <c:pt idx="0">
                    <c:v>-145</c:v>
                  </c:pt>
                  <c:pt idx="1">
                    <c:v>-57</c:v>
                  </c:pt>
                  <c:pt idx="2">
                    <c:v>31</c:v>
                  </c:pt>
                  <c:pt idx="3">
                    <c:v>119</c:v>
                  </c:pt>
                  <c:pt idx="4">
                    <c:v>207</c:v>
                  </c:pt>
                  <c:pt idx="5">
                    <c:v>295</c:v>
                  </c:pt>
                  <c:pt idx="6">
                    <c:v>383</c:v>
                  </c:pt>
                  <c:pt idx="7">
                    <c:v>471</c:v>
                  </c:pt>
                  <c:pt idx="8">
                    <c:v>559</c:v>
                  </c:pt>
                  <c:pt idx="9">
                    <c:v>647</c:v>
                  </c:pt>
                  <c:pt idx="10">
                    <c:v>735</c:v>
                  </c:pt>
                  <c:pt idx="11">
                    <c:v>823</c:v>
                  </c:pt>
                  <c:pt idx="12">
                    <c:v>911</c:v>
                  </c:pt>
                  <c:pt idx="13">
                    <c:v>999</c:v>
                  </c:pt>
                  <c:pt idx="14">
                    <c:v>1087</c:v>
                  </c:pt>
                  <c:pt idx="15">
                    <c:v>1175</c:v>
                  </c:pt>
                </c:lvl>
              </c:multiLvlStrCache>
            </c:multiLvlStrRef>
          </c:cat>
          <c:val>
            <c:numRef>
              <c:f>Folha5!$F$23:$F$38</c:f>
              <c:numCache>
                <c:formatCode>0.0%</c:formatCode>
                <c:ptCount val="16"/>
                <c:pt idx="0">
                  <c:v>9.9009900990099011E-3</c:v>
                </c:pt>
                <c:pt idx="1">
                  <c:v>1.9801980198019802E-2</c:v>
                </c:pt>
                <c:pt idx="2">
                  <c:v>5.9405940594059403E-2</c:v>
                </c:pt>
                <c:pt idx="3">
                  <c:v>9.9009900990099015E-2</c:v>
                </c:pt>
                <c:pt idx="4">
                  <c:v>9.9009900990099015E-2</c:v>
                </c:pt>
                <c:pt idx="5">
                  <c:v>0.18811881188118812</c:v>
                </c:pt>
                <c:pt idx="6">
                  <c:v>0.16831683168316833</c:v>
                </c:pt>
                <c:pt idx="7">
                  <c:v>8.9108910891089105E-2</c:v>
                </c:pt>
                <c:pt idx="8">
                  <c:v>0.10891089108910891</c:v>
                </c:pt>
                <c:pt idx="9">
                  <c:v>3.9603960396039604E-2</c:v>
                </c:pt>
                <c:pt idx="10">
                  <c:v>3.9603960396039604E-2</c:v>
                </c:pt>
                <c:pt idx="11">
                  <c:v>4.9504950495049507E-2</c:v>
                </c:pt>
                <c:pt idx="12">
                  <c:v>0</c:v>
                </c:pt>
                <c:pt idx="13">
                  <c:v>1.9801980198019802E-2</c:v>
                </c:pt>
                <c:pt idx="14">
                  <c:v>0</c:v>
                </c:pt>
                <c:pt idx="15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E-400B-A3C5-90D96620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809162288"/>
        <c:axId val="809168848"/>
        <c:axId val="0"/>
      </c:bar3DChart>
      <c:catAx>
        <c:axId val="80916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9168848"/>
        <c:crosses val="autoZero"/>
        <c:auto val="1"/>
        <c:lblAlgn val="ctr"/>
        <c:lblOffset val="100"/>
        <c:noMultiLvlLbl val="0"/>
      </c:catAx>
      <c:valAx>
        <c:axId val="80916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916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(%) Prob(VAL</a:t>
            </a:r>
            <a:r>
              <a:rPr lang="pt-PT" b="1" baseline="0"/>
              <a:t> </a:t>
            </a:r>
            <a:r>
              <a:rPr lang="pt-PT" b="1"/>
              <a:t>≥ X</a:t>
            </a:r>
            <a:r>
              <a:rPr lang="pt-PT"/>
              <a:t>)</a:t>
            </a:r>
          </a:p>
        </c:rich>
      </c:tx>
      <c:layout>
        <c:manualLayout>
          <c:xMode val="edge"/>
          <c:yMode val="edge"/>
          <c:x val="0.35704016913319236"/>
          <c:y val="0.13355590313586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Folha5!$H$23:$I$38</c:f>
              <c:multiLvlStrCache>
                <c:ptCount val="16"/>
                <c:lvl>
                  <c:pt idx="0">
                    <c:v>-190</c:v>
                  </c:pt>
                  <c:pt idx="1">
                    <c:v>-144</c:v>
                  </c:pt>
                  <c:pt idx="2">
                    <c:v>-56</c:v>
                  </c:pt>
                  <c:pt idx="3">
                    <c:v>32</c:v>
                  </c:pt>
                  <c:pt idx="4">
                    <c:v>120</c:v>
                  </c:pt>
                  <c:pt idx="5">
                    <c:v>208</c:v>
                  </c:pt>
                  <c:pt idx="6">
                    <c:v>296</c:v>
                  </c:pt>
                  <c:pt idx="7">
                    <c:v>384</c:v>
                  </c:pt>
                  <c:pt idx="8">
                    <c:v>472</c:v>
                  </c:pt>
                  <c:pt idx="9">
                    <c:v>560</c:v>
                  </c:pt>
                  <c:pt idx="10">
                    <c:v>648</c:v>
                  </c:pt>
                  <c:pt idx="11">
                    <c:v>736</c:v>
                  </c:pt>
                  <c:pt idx="12">
                    <c:v>824</c:v>
                  </c:pt>
                  <c:pt idx="13">
                    <c:v>912</c:v>
                  </c:pt>
                  <c:pt idx="14">
                    <c:v>1000</c:v>
                  </c:pt>
                  <c:pt idx="15">
                    <c:v>1088</c:v>
                  </c:pt>
                </c:lvl>
                <c:lvl>
                  <c:pt idx="0">
                    <c:v>-145</c:v>
                  </c:pt>
                  <c:pt idx="1">
                    <c:v>-57</c:v>
                  </c:pt>
                  <c:pt idx="2">
                    <c:v>31</c:v>
                  </c:pt>
                  <c:pt idx="3">
                    <c:v>119</c:v>
                  </c:pt>
                  <c:pt idx="4">
                    <c:v>207</c:v>
                  </c:pt>
                  <c:pt idx="5">
                    <c:v>295</c:v>
                  </c:pt>
                  <c:pt idx="6">
                    <c:v>383</c:v>
                  </c:pt>
                  <c:pt idx="7">
                    <c:v>471</c:v>
                  </c:pt>
                  <c:pt idx="8">
                    <c:v>559</c:v>
                  </c:pt>
                  <c:pt idx="9">
                    <c:v>647</c:v>
                  </c:pt>
                  <c:pt idx="10">
                    <c:v>735</c:v>
                  </c:pt>
                  <c:pt idx="11">
                    <c:v>823</c:v>
                  </c:pt>
                  <c:pt idx="12">
                    <c:v>911</c:v>
                  </c:pt>
                  <c:pt idx="13">
                    <c:v>999</c:v>
                  </c:pt>
                  <c:pt idx="14">
                    <c:v>1087</c:v>
                  </c:pt>
                  <c:pt idx="15">
                    <c:v>1175</c:v>
                  </c:pt>
                </c:lvl>
              </c:multiLvlStrCache>
            </c:multiLvlStrRef>
          </c:cat>
          <c:val>
            <c:numRef>
              <c:f>Folha5!$G$23:$G$38</c:f>
              <c:numCache>
                <c:formatCode>0.0%</c:formatCode>
                <c:ptCount val="16"/>
                <c:pt idx="0">
                  <c:v>0.99009900990099009</c:v>
                </c:pt>
                <c:pt idx="1">
                  <c:v>0.97029702970297027</c:v>
                </c:pt>
                <c:pt idx="2">
                  <c:v>0.91089108910891081</c:v>
                </c:pt>
                <c:pt idx="3">
                  <c:v>0.81188118811881183</c:v>
                </c:pt>
                <c:pt idx="4">
                  <c:v>0.71287128712871284</c:v>
                </c:pt>
                <c:pt idx="5">
                  <c:v>0.52475247524752477</c:v>
                </c:pt>
                <c:pt idx="6">
                  <c:v>0.35643564356435642</c:v>
                </c:pt>
                <c:pt idx="7">
                  <c:v>0.26732673267326734</c:v>
                </c:pt>
                <c:pt idx="8">
                  <c:v>0.15841584158415845</c:v>
                </c:pt>
                <c:pt idx="9">
                  <c:v>0.11881188118811883</c:v>
                </c:pt>
                <c:pt idx="10">
                  <c:v>7.9207920792079223E-2</c:v>
                </c:pt>
                <c:pt idx="11">
                  <c:v>2.9702970297029715E-2</c:v>
                </c:pt>
                <c:pt idx="12">
                  <c:v>2.9702970297029715E-2</c:v>
                </c:pt>
                <c:pt idx="13">
                  <c:v>9.9009900990099133E-3</c:v>
                </c:pt>
                <c:pt idx="14">
                  <c:v>9.9009900990099133E-3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7-49E9-9162-37627CAE1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803235280"/>
        <c:axId val="803230360"/>
        <c:axId val="610812792"/>
      </c:bar3DChart>
      <c:catAx>
        <c:axId val="80323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3230360"/>
        <c:crosses val="autoZero"/>
        <c:auto val="1"/>
        <c:lblAlgn val="ctr"/>
        <c:lblOffset val="100"/>
        <c:noMultiLvlLbl val="0"/>
      </c:catAx>
      <c:valAx>
        <c:axId val="803230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03235280"/>
        <c:crosses val="autoZero"/>
        <c:crossBetween val="between"/>
      </c:valAx>
      <c:serAx>
        <c:axId val="610812792"/>
        <c:scaling>
          <c:orientation val="minMax"/>
        </c:scaling>
        <c:delete val="1"/>
        <c:axPos val="b"/>
        <c:majorTickMark val="out"/>
        <c:minorTickMark val="none"/>
        <c:tickLblPos val="nextTo"/>
        <c:crossAx val="80323036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</a:t>
            </a:r>
            <a:r>
              <a:rPr lang="pt-PT" baseline="0"/>
              <a:t>  DA TIR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140351503681087"/>
          <c:y val="7.2423661800247882E-2"/>
          <c:w val="0.77281315051135846"/>
          <c:h val="0.72402978408422802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multiLvlStrRef>
              <c:f>Folha5!$U$7:$V$22</c:f>
              <c:multiLvlStrCache>
                <c:ptCount val="16"/>
                <c:lvl>
                  <c:pt idx="0">
                    <c:v>0,0</c:v>
                  </c:pt>
                  <c:pt idx="1">
                    <c:v>8,7</c:v>
                  </c:pt>
                  <c:pt idx="2">
                    <c:v>10,1</c:v>
                  </c:pt>
                  <c:pt idx="3">
                    <c:v>11,5</c:v>
                  </c:pt>
                  <c:pt idx="4">
                    <c:v>12,9</c:v>
                  </c:pt>
                  <c:pt idx="5">
                    <c:v>14,3</c:v>
                  </c:pt>
                  <c:pt idx="6">
                    <c:v>15,8</c:v>
                  </c:pt>
                  <c:pt idx="7">
                    <c:v>17,2</c:v>
                  </c:pt>
                  <c:pt idx="8">
                    <c:v>18,6</c:v>
                  </c:pt>
                  <c:pt idx="9">
                    <c:v>20,0</c:v>
                  </c:pt>
                  <c:pt idx="10">
                    <c:v>21,4</c:v>
                  </c:pt>
                  <c:pt idx="11">
                    <c:v>22,8</c:v>
                  </c:pt>
                  <c:pt idx="12">
                    <c:v>24,2</c:v>
                  </c:pt>
                  <c:pt idx="13">
                    <c:v>25,6</c:v>
                  </c:pt>
                  <c:pt idx="14">
                    <c:v>27,0</c:v>
                  </c:pt>
                  <c:pt idx="15">
                    <c:v>28,4</c:v>
                  </c:pt>
                </c:lvl>
                <c:lvl>
                  <c:pt idx="0">
                    <c:v>8,7</c:v>
                  </c:pt>
                  <c:pt idx="1">
                    <c:v>10,0</c:v>
                  </c:pt>
                  <c:pt idx="2">
                    <c:v>11,4</c:v>
                  </c:pt>
                  <c:pt idx="3">
                    <c:v>12,8</c:v>
                  </c:pt>
                  <c:pt idx="4">
                    <c:v>14,2</c:v>
                  </c:pt>
                  <c:pt idx="5">
                    <c:v>15,7</c:v>
                  </c:pt>
                  <c:pt idx="6">
                    <c:v>17,1</c:v>
                  </c:pt>
                  <c:pt idx="7">
                    <c:v>18,5</c:v>
                  </c:pt>
                  <c:pt idx="8">
                    <c:v>19,9</c:v>
                  </c:pt>
                  <c:pt idx="9">
                    <c:v>21,3</c:v>
                  </c:pt>
                  <c:pt idx="10">
                    <c:v>22,7</c:v>
                  </c:pt>
                  <c:pt idx="11">
                    <c:v>24,1</c:v>
                  </c:pt>
                  <c:pt idx="12">
                    <c:v>25,5</c:v>
                  </c:pt>
                  <c:pt idx="13">
                    <c:v>26,9</c:v>
                  </c:pt>
                  <c:pt idx="14">
                    <c:v>28,3</c:v>
                  </c:pt>
                  <c:pt idx="15">
                    <c:v>29,8</c:v>
                  </c:pt>
                </c:lvl>
              </c:multiLvlStrCache>
            </c:multiLvlStrRef>
          </c:cat>
          <c:val>
            <c:numRef>
              <c:f>Folha5!$S$7:$S$22</c:f>
              <c:numCache>
                <c:formatCode>0.00%</c:formatCode>
                <c:ptCount val="16"/>
                <c:pt idx="0">
                  <c:v>9.9009900990099011E-3</c:v>
                </c:pt>
                <c:pt idx="1">
                  <c:v>0</c:v>
                </c:pt>
                <c:pt idx="2">
                  <c:v>2.9702970297029702E-2</c:v>
                </c:pt>
                <c:pt idx="3">
                  <c:v>0</c:v>
                </c:pt>
                <c:pt idx="4">
                  <c:v>5.9405940594059403E-2</c:v>
                </c:pt>
                <c:pt idx="5">
                  <c:v>8.9108910891089105E-2</c:v>
                </c:pt>
                <c:pt idx="6">
                  <c:v>9.9009900990099015E-2</c:v>
                </c:pt>
                <c:pt idx="7">
                  <c:v>0.14851485148514851</c:v>
                </c:pt>
                <c:pt idx="8">
                  <c:v>0.16831683168316833</c:v>
                </c:pt>
                <c:pt idx="9">
                  <c:v>0.12871287128712872</c:v>
                </c:pt>
                <c:pt idx="10">
                  <c:v>0.10891089108910891</c:v>
                </c:pt>
                <c:pt idx="11">
                  <c:v>4.9504950495049507E-2</c:v>
                </c:pt>
                <c:pt idx="12">
                  <c:v>3.9603960396039604E-2</c:v>
                </c:pt>
                <c:pt idx="13">
                  <c:v>4.9504950495049507E-2</c:v>
                </c:pt>
                <c:pt idx="14">
                  <c:v>1.9801980198019802E-2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E-424E-9DB8-453A5E638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21918936"/>
        <c:axId val="521913032"/>
        <c:axId val="768121288"/>
      </c:bar3DChart>
      <c:catAx>
        <c:axId val="52191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1913032"/>
        <c:crosses val="autoZero"/>
        <c:auto val="1"/>
        <c:lblAlgn val="ctr"/>
        <c:lblOffset val="100"/>
        <c:noMultiLvlLbl val="0"/>
      </c:catAx>
      <c:valAx>
        <c:axId val="52191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1918936"/>
        <c:crosses val="autoZero"/>
        <c:crossBetween val="between"/>
        <c:majorUnit val="5.000000000000001E-2"/>
      </c:valAx>
      <c:serAx>
        <c:axId val="7681212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2191303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/>
              <a:t>(%) Prob(TIR ≥ X)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Folha5!$U$7:$V$22</c:f>
              <c:multiLvlStrCache>
                <c:ptCount val="16"/>
                <c:lvl>
                  <c:pt idx="0">
                    <c:v>0,0</c:v>
                  </c:pt>
                  <c:pt idx="1">
                    <c:v>8,7</c:v>
                  </c:pt>
                  <c:pt idx="2">
                    <c:v>10,1</c:v>
                  </c:pt>
                  <c:pt idx="3">
                    <c:v>11,5</c:v>
                  </c:pt>
                  <c:pt idx="4">
                    <c:v>12,9</c:v>
                  </c:pt>
                  <c:pt idx="5">
                    <c:v>14,3</c:v>
                  </c:pt>
                  <c:pt idx="6">
                    <c:v>15,8</c:v>
                  </c:pt>
                  <c:pt idx="7">
                    <c:v>17,2</c:v>
                  </c:pt>
                  <c:pt idx="8">
                    <c:v>18,6</c:v>
                  </c:pt>
                  <c:pt idx="9">
                    <c:v>20,0</c:v>
                  </c:pt>
                  <c:pt idx="10">
                    <c:v>21,4</c:v>
                  </c:pt>
                  <c:pt idx="11">
                    <c:v>22,8</c:v>
                  </c:pt>
                  <c:pt idx="12">
                    <c:v>24,2</c:v>
                  </c:pt>
                  <c:pt idx="13">
                    <c:v>25,6</c:v>
                  </c:pt>
                  <c:pt idx="14">
                    <c:v>27,0</c:v>
                  </c:pt>
                  <c:pt idx="15">
                    <c:v>28,4</c:v>
                  </c:pt>
                </c:lvl>
                <c:lvl>
                  <c:pt idx="0">
                    <c:v>8,7</c:v>
                  </c:pt>
                  <c:pt idx="1">
                    <c:v>10,0</c:v>
                  </c:pt>
                  <c:pt idx="2">
                    <c:v>11,4</c:v>
                  </c:pt>
                  <c:pt idx="3">
                    <c:v>12,8</c:v>
                  </c:pt>
                  <c:pt idx="4">
                    <c:v>14,2</c:v>
                  </c:pt>
                  <c:pt idx="5">
                    <c:v>15,7</c:v>
                  </c:pt>
                  <c:pt idx="6">
                    <c:v>17,1</c:v>
                  </c:pt>
                  <c:pt idx="7">
                    <c:v>18,5</c:v>
                  </c:pt>
                  <c:pt idx="8">
                    <c:v>19,9</c:v>
                  </c:pt>
                  <c:pt idx="9">
                    <c:v>21,3</c:v>
                  </c:pt>
                  <c:pt idx="10">
                    <c:v>22,7</c:v>
                  </c:pt>
                  <c:pt idx="11">
                    <c:v>24,1</c:v>
                  </c:pt>
                  <c:pt idx="12">
                    <c:v>25,5</c:v>
                  </c:pt>
                  <c:pt idx="13">
                    <c:v>26,9</c:v>
                  </c:pt>
                  <c:pt idx="14">
                    <c:v>28,3</c:v>
                  </c:pt>
                  <c:pt idx="15">
                    <c:v>29,8</c:v>
                  </c:pt>
                </c:lvl>
              </c:multiLvlStrCache>
            </c:multiLvlStrRef>
          </c:cat>
          <c:val>
            <c:numRef>
              <c:f>Folha5!$T$7:$T$22</c:f>
              <c:numCache>
                <c:formatCode>0.00%</c:formatCode>
                <c:ptCount val="16"/>
                <c:pt idx="0">
                  <c:v>0.99009900990099009</c:v>
                </c:pt>
                <c:pt idx="1">
                  <c:v>0.99009900990099009</c:v>
                </c:pt>
                <c:pt idx="2">
                  <c:v>0.96039603960396036</c:v>
                </c:pt>
                <c:pt idx="3">
                  <c:v>0.96039603960396036</c:v>
                </c:pt>
                <c:pt idx="4">
                  <c:v>0.9009900990099009</c:v>
                </c:pt>
                <c:pt idx="5">
                  <c:v>0.81188118811881183</c:v>
                </c:pt>
                <c:pt idx="6">
                  <c:v>0.71287128712871284</c:v>
                </c:pt>
                <c:pt idx="7">
                  <c:v>0.5643564356435643</c:v>
                </c:pt>
                <c:pt idx="8">
                  <c:v>0.39603960396039595</c:v>
                </c:pt>
                <c:pt idx="9">
                  <c:v>0.26732673267326723</c:v>
                </c:pt>
                <c:pt idx="10">
                  <c:v>0.15841584158415833</c:v>
                </c:pt>
                <c:pt idx="11">
                  <c:v>0.10891089108910883</c:v>
                </c:pt>
                <c:pt idx="12">
                  <c:v>6.930693069306923E-2</c:v>
                </c:pt>
                <c:pt idx="13">
                  <c:v>1.9801980198019722E-2</c:v>
                </c:pt>
                <c:pt idx="14">
                  <c:v>-7.9797279894933126E-17</c:v>
                </c:pt>
                <c:pt idx="15">
                  <c:v>-7.9797279894933126E-17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ED7-9B3F-D09DD5BE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45987192"/>
        <c:axId val="645991784"/>
        <c:axId val="768114448"/>
      </c:bar3DChart>
      <c:catAx>
        <c:axId val="64598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91784"/>
        <c:crosses val="autoZero"/>
        <c:auto val="1"/>
        <c:lblAlgn val="ctr"/>
        <c:lblOffset val="100"/>
        <c:noMultiLvlLbl val="0"/>
      </c:catAx>
      <c:valAx>
        <c:axId val="6459917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87192"/>
        <c:crosses val="autoZero"/>
        <c:crossBetween val="between"/>
        <c:majorUnit val="0.2"/>
      </c:valAx>
      <c:serAx>
        <c:axId val="768114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4599178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49</xdr:row>
      <xdr:rowOff>19050</xdr:rowOff>
    </xdr:from>
    <xdr:to>
      <xdr:col>6</xdr:col>
      <xdr:colOff>219075</xdr:colOff>
      <xdr:row>65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180975</xdr:colOff>
      <xdr:row>49</xdr:row>
      <xdr:rowOff>19049</xdr:rowOff>
    </xdr:from>
    <xdr:to>
      <xdr:col>12</xdr:col>
      <xdr:colOff>533400</xdr:colOff>
      <xdr:row>65</xdr:row>
      <xdr:rowOff>9524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704851</xdr:colOff>
      <xdr:row>65</xdr:row>
      <xdr:rowOff>19050</xdr:rowOff>
    </xdr:from>
    <xdr:to>
      <xdr:col>6</xdr:col>
      <xdr:colOff>180976</xdr:colOff>
      <xdr:row>81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171450</xdr:colOff>
      <xdr:row>65</xdr:row>
      <xdr:rowOff>19050</xdr:rowOff>
    </xdr:from>
    <xdr:to>
      <xdr:col>12</xdr:col>
      <xdr:colOff>542925</xdr:colOff>
      <xdr:row>81</xdr:row>
      <xdr:rowOff>9525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0.39266</cdr:x>
      <cdr:y>0.87999</cdr:y>
    </cdr:from>
    <cdr:to>
      <cdr:x>0.65032</cdr:x>
      <cdr:y>0.98958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65300" y="2413998"/>
          <a:ext cx="1158394" cy="300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1100" b="1"/>
            <a:t>VAL ( mm $ 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0.37844</cdr:x>
      <cdr:y>0.8197</cdr:y>
    </cdr:from>
    <cdr:to>
      <cdr:x>0.61945</cdr:x>
      <cdr:y>0.93322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04976" y="2338388"/>
          <a:ext cx="10858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100" b="1" baseline="0"/>
            <a:t>(X mm $)</a:t>
          </a:r>
          <a:endParaRPr lang="pt-PT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0.5034</cdr:x>
      <cdr:y>0.55658</cdr:y>
    </cdr:from>
    <cdr:to>
      <cdr:x>0.72109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14550" y="21193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0.37588</cdr:x>
      <cdr:y>0.80283</cdr:y>
    </cdr:from>
    <cdr:to>
      <cdr:x>0.51874</cdr:x>
      <cdr:y>0.89834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61239" y="2045553"/>
          <a:ext cx="631370" cy="243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400" b="1"/>
            <a:t>TIR 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0.3875</cdr:x>
      <cdr:y>0.82207</cdr:y>
    </cdr:from>
    <cdr:to>
      <cdr:x>0.55</cdr:x>
      <cdr:y>0.9054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771650" y="2329484"/>
          <a:ext cx="742950" cy="236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400" b="1"/>
            <a:t>TIR 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176212</xdr:rowOff>
    </xdr:from>
    <xdr:to>
      <xdr:col>9</xdr:col>
      <xdr:colOff>0</xdr:colOff>
      <xdr:row>53</xdr:row>
      <xdr:rowOff>61912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1047749</xdr:colOff>
      <xdr:row>53</xdr:row>
      <xdr:rowOff>23812</xdr:rowOff>
    </xdr:from>
    <xdr:to>
      <xdr:col>8</xdr:col>
      <xdr:colOff>600074</xdr:colOff>
      <xdr:row>68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</xdr:colOff>
      <xdr:row>24</xdr:row>
      <xdr:rowOff>119062</xdr:rowOff>
    </xdr:from>
    <xdr:to>
      <xdr:col>22</xdr:col>
      <xdr:colOff>28576</xdr:colOff>
      <xdr:row>38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600075</xdr:colOff>
      <xdr:row>37</xdr:row>
      <xdr:rowOff>128587</xdr:rowOff>
    </xdr:from>
    <xdr:to>
      <xdr:col>22</xdr:col>
      <xdr:colOff>57150</xdr:colOff>
      <xdr:row>52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0.39266</cdr:x>
      <cdr:y>0.87999</cdr:y>
    </cdr:from>
    <cdr:to>
      <cdr:x>0.65032</cdr:x>
      <cdr:y>0.98958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65300" y="2413998"/>
          <a:ext cx="1158394" cy="300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1100" b="1"/>
            <a:t>VAL</a:t>
          </a:r>
          <a:r>
            <a:rPr lang="pt-PT" sz="1100" b="1" baseline="0"/>
            <a:t> </a:t>
          </a:r>
          <a:r>
            <a:rPr lang="pt-PT" sz="1100" b="1"/>
            <a:t>( mm $ 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0.37844</cdr:x>
      <cdr:y>0.8197</cdr:y>
    </cdr:from>
    <cdr:to>
      <cdr:x>0.61945</cdr:x>
      <cdr:y>0.93322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04976" y="2338388"/>
          <a:ext cx="10858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100" b="1" baseline="0"/>
            <a:t>(X mm $)</a:t>
          </a:r>
          <a:endParaRPr lang="pt-PT" sz="1100" b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0.5034</cdr:x>
      <cdr:y>0.55658</cdr:y>
    </cdr:from>
    <cdr:to>
      <cdr:x>0.72109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114550" y="21193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PT" sz="1100"/>
        </a:p>
      </cdr:txBody>
    </cdr:sp>
  </cdr:relSizeAnchor>
  <cdr:relSizeAnchor xmlns:cdr="http://schemas.openxmlformats.org/drawingml/2006/chartDrawing">
    <cdr:from>
      <cdr:x>0.37588</cdr:x>
      <cdr:y>0.80283</cdr:y>
    </cdr:from>
    <cdr:to>
      <cdr:x>0.51874</cdr:x>
      <cdr:y>0.89834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61239" y="2045553"/>
          <a:ext cx="631370" cy="243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400" b="1"/>
            <a:t>TIR %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0.3875</cdr:x>
      <cdr:y>0.82207</cdr:y>
    </cdr:from>
    <cdr:to>
      <cdr:x>0.55</cdr:x>
      <cdr:y>0.9054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771650" y="2329484"/>
          <a:ext cx="742950" cy="236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PT" sz="1400" b="1"/>
            <a:t>X %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45"/>
  <sheetViews>
    <sheetView topLeftCell="A4" workbookViewId="0">
      <selection activeCell="B42" sqref="B42:F49"/>
    </sheetView>
  </sheetViews>
  <sheetFormatPr defaultRowHeight="15" x14ac:dyDescent="0.25"/>
  <cols>
    <col min="1" max="1" width="5" customWidth="1"/>
    <col min="2" max="2" width="33.5703125" customWidth="1"/>
    <col min="3" max="3" width="9.42578125" customWidth="1"/>
    <col min="4" max="4" width="9.7109375" customWidth="1"/>
    <col min="5" max="5" width="10.7109375" customWidth="1"/>
    <col min="6" max="6" width="11.5703125" customWidth="1"/>
    <col min="7" max="7" width="10.42578125" customWidth="1"/>
    <col min="8" max="8" width="9.5703125" bestFit="1" customWidth="1"/>
    <col min="9" max="38" width="10.5703125" bestFit="1" customWidth="1"/>
  </cols>
  <sheetData>
    <row r="1" spans="2:41" x14ac:dyDescent="0.25">
      <c r="B1" s="2" t="s">
        <v>128</v>
      </c>
    </row>
    <row r="2" spans="2:41" x14ac:dyDescent="0.25">
      <c r="B2" s="2" t="s">
        <v>164</v>
      </c>
    </row>
    <row r="3" spans="2:41" x14ac:dyDescent="0.25"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" t="s">
        <v>30</v>
      </c>
      <c r="AH3" s="1" t="s">
        <v>31</v>
      </c>
      <c r="AI3" s="1" t="s">
        <v>32</v>
      </c>
      <c r="AJ3" s="1" t="s">
        <v>33</v>
      </c>
      <c r="AK3" s="1" t="s">
        <v>34</v>
      </c>
      <c r="AL3" s="1" t="s">
        <v>35</v>
      </c>
    </row>
    <row r="4" spans="2:41" x14ac:dyDescent="0.25">
      <c r="B4" s="2" t="s">
        <v>148</v>
      </c>
      <c r="AM4" s="1"/>
      <c r="AN4" s="1"/>
    </row>
    <row r="5" spans="2:41" x14ac:dyDescent="0.25">
      <c r="B5" t="s">
        <v>36</v>
      </c>
      <c r="C5" s="37">
        <v>0.02</v>
      </c>
      <c r="D5" s="1">
        <v>1</v>
      </c>
      <c r="E5" s="27">
        <f>1*(1+C5)</f>
        <v>1.02</v>
      </c>
      <c r="F5" s="27">
        <f t="shared" ref="F5:AL5" si="0">E5*(1+$C$6)</f>
        <v>1.0506</v>
      </c>
      <c r="G5" s="27">
        <f t="shared" si="0"/>
        <v>1.0821179999999999</v>
      </c>
      <c r="H5" s="27">
        <f t="shared" si="0"/>
        <v>1.1145815399999999</v>
      </c>
      <c r="I5" s="27">
        <f t="shared" si="0"/>
        <v>1.1480189861999999</v>
      </c>
      <c r="J5" s="27">
        <f t="shared" si="0"/>
        <v>1.1824595557859998</v>
      </c>
      <c r="K5" s="27">
        <f t="shared" si="0"/>
        <v>1.2179333424595797</v>
      </c>
      <c r="L5" s="27">
        <f t="shared" si="0"/>
        <v>1.2544713427333671</v>
      </c>
      <c r="M5" s="27">
        <f t="shared" si="0"/>
        <v>1.2921054830153682</v>
      </c>
      <c r="N5" s="27">
        <f t="shared" si="0"/>
        <v>1.3308686475058293</v>
      </c>
      <c r="O5" s="27">
        <f t="shared" si="0"/>
        <v>1.3707947069310042</v>
      </c>
      <c r="P5" s="27">
        <f t="shared" si="0"/>
        <v>1.4119185481389345</v>
      </c>
      <c r="Q5" s="27">
        <f t="shared" si="0"/>
        <v>1.4542761045831025</v>
      </c>
      <c r="R5" s="27">
        <f t="shared" si="0"/>
        <v>1.4979043877205955</v>
      </c>
      <c r="S5" s="27">
        <f t="shared" si="0"/>
        <v>1.5428415193522134</v>
      </c>
      <c r="T5" s="27">
        <f t="shared" si="0"/>
        <v>1.5891267649327798</v>
      </c>
      <c r="U5" s="27">
        <f t="shared" si="0"/>
        <v>1.6368005678807633</v>
      </c>
      <c r="V5" s="27">
        <f t="shared" si="0"/>
        <v>1.6859045849171863</v>
      </c>
      <c r="W5" s="27">
        <f t="shared" si="0"/>
        <v>1.736481722464702</v>
      </c>
      <c r="X5" s="27">
        <f t="shared" si="0"/>
        <v>1.788576174138643</v>
      </c>
      <c r="Y5" s="27">
        <f t="shared" si="0"/>
        <v>1.8422334593628023</v>
      </c>
      <c r="Z5" s="27">
        <f t="shared" si="0"/>
        <v>1.8975004631436865</v>
      </c>
      <c r="AA5" s="27">
        <f t="shared" si="0"/>
        <v>1.9544254770379972</v>
      </c>
      <c r="AB5" s="27">
        <f t="shared" si="0"/>
        <v>2.0130582413491371</v>
      </c>
      <c r="AC5" s="27">
        <f t="shared" si="0"/>
        <v>2.0734499885896112</v>
      </c>
      <c r="AD5" s="27">
        <f t="shared" si="0"/>
        <v>2.1356534882472995</v>
      </c>
      <c r="AE5" s="27">
        <f t="shared" si="0"/>
        <v>2.1997230928947187</v>
      </c>
      <c r="AF5" s="27">
        <f t="shared" si="0"/>
        <v>2.2657147856815603</v>
      </c>
      <c r="AG5" s="27">
        <f t="shared" si="0"/>
        <v>2.3336862292520073</v>
      </c>
      <c r="AH5" s="27">
        <f t="shared" si="0"/>
        <v>2.4036968161295675</v>
      </c>
      <c r="AI5" s="27">
        <f t="shared" si="0"/>
        <v>2.4758077206134548</v>
      </c>
      <c r="AJ5" s="27">
        <f t="shared" si="0"/>
        <v>2.5500819522318583</v>
      </c>
      <c r="AK5" s="27">
        <f t="shared" si="0"/>
        <v>2.6265844107988143</v>
      </c>
      <c r="AL5" s="27">
        <f t="shared" si="0"/>
        <v>2.705381943122779</v>
      </c>
      <c r="AM5" s="1"/>
      <c r="AN5" s="1"/>
    </row>
    <row r="6" spans="2:41" x14ac:dyDescent="0.25">
      <c r="B6" t="s">
        <v>47</v>
      </c>
      <c r="C6" s="37">
        <v>0.03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2:41" x14ac:dyDescent="0.25">
      <c r="B7" t="s">
        <v>45</v>
      </c>
      <c r="C7" s="37">
        <v>0.15</v>
      </c>
      <c r="D7" s="29">
        <f t="shared" ref="D7" si="1">+C9*(1+$C$7)</f>
        <v>74.75</v>
      </c>
      <c r="E7" s="29">
        <f t="shared" ref="E7:AL7" ca="1" si="2">+D9*(1+$C$7)</f>
        <v>74.692716321852515</v>
      </c>
      <c r="F7" s="29">
        <f t="shared" ca="1" si="2"/>
        <v>72.322148660392457</v>
      </c>
      <c r="G7" s="29">
        <f t="shared" ca="1" si="2"/>
        <v>66.813599287966255</v>
      </c>
      <c r="H7" s="29">
        <f t="shared" ca="1" si="2"/>
        <v>71.945974229582703</v>
      </c>
      <c r="I7" s="29">
        <f t="shared" ca="1" si="2"/>
        <v>75.303001964534019</v>
      </c>
      <c r="J7" s="29">
        <f t="shared" ca="1" si="2"/>
        <v>69.480334299036912</v>
      </c>
      <c r="K7" s="29">
        <f t="shared" ca="1" si="2"/>
        <v>77.793335218925648</v>
      </c>
      <c r="L7" s="29">
        <f t="shared" ca="1" si="2"/>
        <v>81.402506839534254</v>
      </c>
      <c r="M7" s="29">
        <f t="shared" ca="1" si="2"/>
        <v>84.094296416317221</v>
      </c>
      <c r="N7" s="29">
        <f t="shared" ca="1" si="2"/>
        <v>88.274817562113199</v>
      </c>
      <c r="O7" s="29">
        <f t="shared" ca="1" si="2"/>
        <v>103.46804868185374</v>
      </c>
      <c r="P7" s="29">
        <f t="shared" ca="1" si="2"/>
        <v>115.86862374776973</v>
      </c>
      <c r="Q7" s="29">
        <f t="shared" ca="1" si="2"/>
        <v>104.25773915161517</v>
      </c>
      <c r="R7" s="29">
        <f t="shared" ca="1" si="2"/>
        <v>117.76256987851497</v>
      </c>
      <c r="S7" s="29">
        <f t="shared" ca="1" si="2"/>
        <v>111.52416297321865</v>
      </c>
      <c r="T7" s="29">
        <f t="shared" ca="1" si="2"/>
        <v>112.43905194132076</v>
      </c>
      <c r="U7" s="29">
        <f t="shared" ca="1" si="2"/>
        <v>103.72208113392948</v>
      </c>
      <c r="V7" s="29">
        <f t="shared" ca="1" si="2"/>
        <v>114.98927407538228</v>
      </c>
      <c r="W7" s="29">
        <f t="shared" ca="1" si="2"/>
        <v>113.05062488219055</v>
      </c>
      <c r="X7" s="29">
        <f t="shared" ca="1" si="2"/>
        <v>103.95480560064816</v>
      </c>
      <c r="Y7" s="29">
        <f t="shared" ca="1" si="2"/>
        <v>98.771565212188676</v>
      </c>
      <c r="Z7" s="29">
        <f t="shared" ca="1" si="2"/>
        <v>108.64382369403748</v>
      </c>
      <c r="AA7" s="29">
        <f t="shared" ca="1" si="2"/>
        <v>107.06944734636549</v>
      </c>
      <c r="AB7" s="29">
        <f t="shared" ca="1" si="2"/>
        <v>115.16389461780241</v>
      </c>
      <c r="AC7" s="29">
        <f t="shared" ca="1" si="2"/>
        <v>117.80176047955031</v>
      </c>
      <c r="AD7" s="29">
        <f t="shared" ca="1" si="2"/>
        <v>108.03003012856774</v>
      </c>
      <c r="AE7" s="29">
        <f t="shared" ca="1" si="2"/>
        <v>96.575042220353325</v>
      </c>
      <c r="AF7" s="29">
        <f t="shared" ca="1" si="2"/>
        <v>94.95338857715339</v>
      </c>
      <c r="AG7" s="29">
        <f t="shared" ca="1" si="2"/>
        <v>110.13320584306594</v>
      </c>
      <c r="AH7" s="29">
        <f t="shared" ca="1" si="2"/>
        <v>119.99468616033552</v>
      </c>
      <c r="AI7" s="29">
        <f t="shared" ca="1" si="2"/>
        <v>112.26212733153011</v>
      </c>
      <c r="AJ7" s="29">
        <f t="shared" ca="1" si="2"/>
        <v>120.52817771860134</v>
      </c>
      <c r="AK7" s="29">
        <f t="shared" ca="1" si="2"/>
        <v>115.04345475697647</v>
      </c>
      <c r="AL7" s="29">
        <f t="shared" ca="1" si="2"/>
        <v>130.57962307750827</v>
      </c>
      <c r="AM7" s="29"/>
      <c r="AN7" s="29"/>
    </row>
    <row r="8" spans="2:41" x14ac:dyDescent="0.25">
      <c r="B8" t="s">
        <v>46</v>
      </c>
      <c r="C8" s="37">
        <v>-0.15</v>
      </c>
      <c r="D8" s="29">
        <f t="shared" ref="D8" si="3">+C9*(1+$C$8)</f>
        <v>55.25</v>
      </c>
      <c r="E8" s="29">
        <f t="shared" ref="E8:AL8" ca="1" si="4">+D9*(1+$C$8)</f>
        <v>55.20765989006491</v>
      </c>
      <c r="F8" s="29">
        <f t="shared" ca="1" si="4"/>
        <v>53.455501183768341</v>
      </c>
      <c r="G8" s="29">
        <f t="shared" ca="1" si="4"/>
        <v>49.383964691105497</v>
      </c>
      <c r="H8" s="29">
        <f t="shared" ca="1" si="4"/>
        <v>53.177459213169826</v>
      </c>
      <c r="I8" s="29">
        <f t="shared" ca="1" si="4"/>
        <v>55.658740582481663</v>
      </c>
      <c r="J8" s="29">
        <f t="shared" ca="1" si="4"/>
        <v>51.35502969928816</v>
      </c>
      <c r="K8" s="29">
        <f t="shared" ca="1" si="4"/>
        <v>57.499421683553742</v>
      </c>
      <c r="L8" s="29">
        <f t="shared" ca="1" si="4"/>
        <v>60.167070272699235</v>
      </c>
      <c r="M8" s="29">
        <f t="shared" ca="1" si="4"/>
        <v>62.156653872930121</v>
      </c>
      <c r="N8" s="29">
        <f t="shared" ca="1" si="4"/>
        <v>65.246604285040192</v>
      </c>
      <c r="O8" s="29">
        <f t="shared" ca="1" si="4"/>
        <v>76.476383808326688</v>
      </c>
      <c r="P8" s="29">
        <f t="shared" ca="1" si="4"/>
        <v>85.642026248351542</v>
      </c>
      <c r="Q8" s="29">
        <f t="shared" ca="1" si="4"/>
        <v>77.060068068585124</v>
      </c>
      <c r="R8" s="29">
        <f t="shared" ca="1" si="4"/>
        <v>87.041899475424103</v>
      </c>
      <c r="S8" s="29">
        <f t="shared" ca="1" si="4"/>
        <v>82.430903067161609</v>
      </c>
      <c r="T8" s="29">
        <f t="shared" ca="1" si="4"/>
        <v>83.107125347932737</v>
      </c>
      <c r="U8" s="29">
        <f t="shared" ca="1" si="4"/>
        <v>76.664146925078313</v>
      </c>
      <c r="V8" s="29">
        <f t="shared" ca="1" si="4"/>
        <v>84.992072142673862</v>
      </c>
      <c r="W8" s="29">
        <f t="shared" ca="1" si="4"/>
        <v>83.559157521619113</v>
      </c>
      <c r="X8" s="29">
        <f t="shared" ca="1" si="4"/>
        <v>76.836160661348643</v>
      </c>
      <c r="Y8" s="29">
        <f t="shared" ca="1" si="4"/>
        <v>73.0050699394438</v>
      </c>
      <c r="Z8" s="29">
        <f t="shared" ca="1" si="4"/>
        <v>80.301956643419018</v>
      </c>
      <c r="AA8" s="29">
        <f t="shared" ca="1" si="4"/>
        <v>79.138287169052759</v>
      </c>
      <c r="AB8" s="29">
        <f t="shared" ca="1" si="4"/>
        <v>85.121139500114836</v>
      </c>
      <c r="AC8" s="29">
        <f t="shared" ca="1" si="4"/>
        <v>87.070866441406764</v>
      </c>
      <c r="AD8" s="29">
        <f t="shared" ca="1" si="4"/>
        <v>79.848283138506602</v>
      </c>
      <c r="AE8" s="29">
        <f t="shared" ca="1" si="4"/>
        <v>71.381552945478546</v>
      </c>
      <c r="AF8" s="29">
        <f t="shared" ca="1" si="4"/>
        <v>70.182939383113379</v>
      </c>
      <c r="AG8" s="29">
        <f t="shared" ca="1" si="4"/>
        <v>81.402804318787872</v>
      </c>
      <c r="AH8" s="29">
        <f t="shared" ca="1" si="4"/>
        <v>88.691724553291465</v>
      </c>
      <c r="AI8" s="29">
        <f t="shared" ca="1" si="4"/>
        <v>82.976354984174435</v>
      </c>
      <c r="AJ8" s="29">
        <f t="shared" ca="1" si="4"/>
        <v>89.086044400705347</v>
      </c>
      <c r="AK8" s="29">
        <f t="shared" ca="1" si="4"/>
        <v>85.032118733417391</v>
      </c>
      <c r="AL8" s="29">
        <f t="shared" ca="1" si="4"/>
        <v>96.515373579027866</v>
      </c>
      <c r="AM8" s="29"/>
      <c r="AN8" s="29"/>
    </row>
    <row r="9" spans="2:41" x14ac:dyDescent="0.25">
      <c r="B9" t="s">
        <v>129</v>
      </c>
      <c r="C9" s="37">
        <v>65</v>
      </c>
      <c r="D9" s="29">
        <f t="shared" ref="D9:AL9" ca="1" si="5">+(D8+RAND()*(D7-D8))*(1+$C$6)</f>
        <v>64.950188105958716</v>
      </c>
      <c r="E9" s="29">
        <f t="shared" ca="1" si="5"/>
        <v>62.888824922080403</v>
      </c>
      <c r="F9" s="29">
        <f t="shared" ca="1" si="5"/>
        <v>58.09878198953588</v>
      </c>
      <c r="G9" s="29">
        <f t="shared" ca="1" si="5"/>
        <v>62.561716721376264</v>
      </c>
      <c r="H9" s="29">
        <f t="shared" ca="1" si="5"/>
        <v>65.480871273507844</v>
      </c>
      <c r="I9" s="29">
        <f t="shared" ca="1" si="5"/>
        <v>60.417681999162539</v>
      </c>
      <c r="J9" s="29">
        <f t="shared" ca="1" si="5"/>
        <v>67.646378451239698</v>
      </c>
      <c r="K9" s="29">
        <f t="shared" ca="1" si="5"/>
        <v>70.784788556116752</v>
      </c>
      <c r="L9" s="29">
        <f t="shared" ca="1" si="5"/>
        <v>73.125475144623678</v>
      </c>
      <c r="M9" s="29">
        <f t="shared" ca="1" si="5"/>
        <v>76.760710923576696</v>
      </c>
      <c r="N9" s="29">
        <f t="shared" ca="1" si="5"/>
        <v>89.972216245090223</v>
      </c>
      <c r="O9" s="29">
        <f t="shared" ca="1" si="5"/>
        <v>100.75532499806064</v>
      </c>
      <c r="P9" s="29">
        <f t="shared" ca="1" si="5"/>
        <v>90.658903610100154</v>
      </c>
      <c r="Q9" s="29">
        <f t="shared" ca="1" si="5"/>
        <v>102.40223467696954</v>
      </c>
      <c r="R9" s="29">
        <f t="shared" ca="1" si="5"/>
        <v>96.977533020190137</v>
      </c>
      <c r="S9" s="29">
        <f t="shared" ca="1" si="5"/>
        <v>97.773088644626753</v>
      </c>
      <c r="T9" s="29">
        <f t="shared" ca="1" si="5"/>
        <v>90.193114029503903</v>
      </c>
      <c r="U9" s="29">
        <f t="shared" ca="1" si="5"/>
        <v>99.99067310902808</v>
      </c>
      <c r="V9" s="29">
        <f t="shared" ca="1" si="5"/>
        <v>98.304891201904837</v>
      </c>
      <c r="W9" s="29">
        <f t="shared" ca="1" si="5"/>
        <v>90.3954831309984</v>
      </c>
      <c r="X9" s="29">
        <f t="shared" ca="1" si="5"/>
        <v>85.888317575816245</v>
      </c>
      <c r="Y9" s="29">
        <f t="shared" ca="1" si="5"/>
        <v>94.472890168728256</v>
      </c>
      <c r="Z9" s="29">
        <f t="shared" ca="1" si="5"/>
        <v>93.103867257709126</v>
      </c>
      <c r="AA9" s="29">
        <f t="shared" ca="1" si="5"/>
        <v>100.14251705895863</v>
      </c>
      <c r="AB9" s="29">
        <f t="shared" ca="1" si="5"/>
        <v>102.43631346047854</v>
      </c>
      <c r="AC9" s="29">
        <f t="shared" ca="1" si="5"/>
        <v>93.939156633537181</v>
      </c>
      <c r="AD9" s="29">
        <f t="shared" ca="1" si="5"/>
        <v>83.978297582915943</v>
      </c>
      <c r="AE9" s="29">
        <f t="shared" ca="1" si="5"/>
        <v>82.568163980133392</v>
      </c>
      <c r="AF9" s="29">
        <f t="shared" ca="1" si="5"/>
        <v>95.768005080926912</v>
      </c>
      <c r="AG9" s="29">
        <f t="shared" ca="1" si="5"/>
        <v>104.3432053568135</v>
      </c>
      <c r="AH9" s="29">
        <f t="shared" ca="1" si="5"/>
        <v>97.619241157852272</v>
      </c>
      <c r="AI9" s="29">
        <f t="shared" ca="1" si="5"/>
        <v>104.80711105965335</v>
      </c>
      <c r="AJ9" s="29">
        <f t="shared" ca="1" si="5"/>
        <v>100.03778674519694</v>
      </c>
      <c r="AK9" s="29">
        <f t="shared" ca="1" si="5"/>
        <v>113.54749832826808</v>
      </c>
      <c r="AL9" s="29">
        <f t="shared" ca="1" si="5"/>
        <v>114.3387761298594</v>
      </c>
      <c r="AM9" s="29"/>
      <c r="AN9" s="29"/>
    </row>
    <row r="10" spans="2:41" x14ac:dyDescent="0.25">
      <c r="B10" t="s">
        <v>130</v>
      </c>
      <c r="C10" s="29">
        <f t="shared" ref="C10" si="6">+C9*(1-$C$33)</f>
        <v>61.75</v>
      </c>
      <c r="D10" s="29">
        <f t="shared" ref="D10:AL10" ca="1" si="7">+D9*(1-$C$33)</f>
        <v>61.702678700660776</v>
      </c>
      <c r="E10" s="29">
        <f t="shared" ca="1" si="7"/>
        <v>59.74438367597638</v>
      </c>
      <c r="F10" s="29">
        <f t="shared" ca="1" si="7"/>
        <v>55.193842890059081</v>
      </c>
      <c r="G10" s="29">
        <f t="shared" ca="1" si="7"/>
        <v>59.433630885307451</v>
      </c>
      <c r="H10" s="29">
        <f t="shared" ca="1" si="7"/>
        <v>62.206827709832446</v>
      </c>
      <c r="I10" s="29">
        <f t="shared" ca="1" si="7"/>
        <v>57.396797899204408</v>
      </c>
      <c r="J10" s="29">
        <f t="shared" ca="1" si="7"/>
        <v>64.264059528677706</v>
      </c>
      <c r="K10" s="29">
        <f t="shared" ca="1" si="7"/>
        <v>67.245549128310913</v>
      </c>
      <c r="L10" s="29">
        <f t="shared" ca="1" si="7"/>
        <v>69.469201387392488</v>
      </c>
      <c r="M10" s="29">
        <f t="shared" ca="1" si="7"/>
        <v>72.922675377397852</v>
      </c>
      <c r="N10" s="29">
        <f t="shared" ca="1" si="7"/>
        <v>85.473605432835711</v>
      </c>
      <c r="O10" s="29">
        <f t="shared" ca="1" si="7"/>
        <v>95.7175587481576</v>
      </c>
      <c r="P10" s="29">
        <f t="shared" ca="1" si="7"/>
        <v>86.125958429595144</v>
      </c>
      <c r="Q10" s="29">
        <f t="shared" ca="1" si="7"/>
        <v>97.282122943121067</v>
      </c>
      <c r="R10" s="29">
        <f t="shared" ca="1" si="7"/>
        <v>92.128656369180632</v>
      </c>
      <c r="S10" s="29">
        <f t="shared" ca="1" si="7"/>
        <v>92.884434212395405</v>
      </c>
      <c r="T10" s="29">
        <f t="shared" ca="1" si="7"/>
        <v>85.683458328028706</v>
      </c>
      <c r="U10" s="29">
        <f t="shared" ca="1" si="7"/>
        <v>94.991139453576665</v>
      </c>
      <c r="V10" s="29">
        <f t="shared" ca="1" si="7"/>
        <v>93.389646641809591</v>
      </c>
      <c r="W10" s="29">
        <f t="shared" ca="1" si="7"/>
        <v>85.875708974448472</v>
      </c>
      <c r="X10" s="29">
        <f t="shared" ca="1" si="7"/>
        <v>81.59390169702543</v>
      </c>
      <c r="Y10" s="29">
        <f t="shared" ca="1" si="7"/>
        <v>89.749245660291834</v>
      </c>
      <c r="Z10" s="29">
        <f t="shared" ca="1" si="7"/>
        <v>88.448673894823671</v>
      </c>
      <c r="AA10" s="29">
        <f t="shared" ca="1" si="7"/>
        <v>95.135391206010695</v>
      </c>
      <c r="AB10" s="29">
        <f t="shared" ca="1" si="7"/>
        <v>97.314497787454613</v>
      </c>
      <c r="AC10" s="29">
        <f t="shared" ca="1" si="7"/>
        <v>89.242198801860312</v>
      </c>
      <c r="AD10" s="29">
        <f t="shared" ca="1" si="7"/>
        <v>79.779382703770139</v>
      </c>
      <c r="AE10" s="29">
        <f t="shared" ca="1" si="7"/>
        <v>78.439755781126721</v>
      </c>
      <c r="AF10" s="29">
        <f t="shared" ca="1" si="7"/>
        <v>90.979604826880561</v>
      </c>
      <c r="AG10" s="29">
        <f t="shared" ca="1" si="7"/>
        <v>99.126045088972816</v>
      </c>
      <c r="AH10" s="29">
        <f t="shared" ca="1" si="7"/>
        <v>92.738279099959655</v>
      </c>
      <c r="AI10" s="29">
        <f t="shared" ca="1" si="7"/>
        <v>99.566755506670674</v>
      </c>
      <c r="AJ10" s="29">
        <f t="shared" ca="1" si="7"/>
        <v>95.035897407937085</v>
      </c>
      <c r="AK10" s="29">
        <f t="shared" ca="1" si="7"/>
        <v>107.87012341185466</v>
      </c>
      <c r="AL10" s="29">
        <f t="shared" ca="1" si="7"/>
        <v>108.62183732336642</v>
      </c>
      <c r="AM10" s="29"/>
      <c r="AN10" s="29"/>
    </row>
    <row r="11" spans="2:41" x14ac:dyDescent="0.25">
      <c r="AM11" s="29"/>
      <c r="AN11" s="29"/>
    </row>
    <row r="12" spans="2:41" x14ac:dyDescent="0.25">
      <c r="B12" s="2" t="s">
        <v>149</v>
      </c>
      <c r="C12" s="29"/>
      <c r="D12" s="29" t="s">
        <v>185</v>
      </c>
      <c r="E12" s="29" t="s">
        <v>186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2:41" x14ac:dyDescent="0.25">
      <c r="B13" t="s">
        <v>188</v>
      </c>
      <c r="C13" s="1"/>
      <c r="D13" s="38">
        <v>0.1</v>
      </c>
      <c r="E13" s="38">
        <v>0.1</v>
      </c>
      <c r="F13" s="1"/>
      <c r="G13" s="1"/>
      <c r="H13" s="39">
        <f>5000*300/1000000</f>
        <v>1.5</v>
      </c>
      <c r="I13" s="39">
        <f t="shared" ref="I13:W13" si="8">+H13+1000*300/1000000</f>
        <v>1.8</v>
      </c>
      <c r="J13" s="39">
        <f t="shared" si="8"/>
        <v>2.1</v>
      </c>
      <c r="K13" s="39">
        <f t="shared" si="8"/>
        <v>2.4</v>
      </c>
      <c r="L13" s="39">
        <f t="shared" si="8"/>
        <v>2.6999999999999997</v>
      </c>
      <c r="M13" s="39">
        <f t="shared" si="8"/>
        <v>2.9999999999999996</v>
      </c>
      <c r="N13" s="39">
        <f t="shared" si="8"/>
        <v>3.2999999999999994</v>
      </c>
      <c r="O13" s="39">
        <f t="shared" si="8"/>
        <v>3.5999999999999992</v>
      </c>
      <c r="P13" s="39">
        <f t="shared" si="8"/>
        <v>3.899999999999999</v>
      </c>
      <c r="Q13" s="39">
        <f t="shared" si="8"/>
        <v>4.1999999999999993</v>
      </c>
      <c r="R13" s="39">
        <f t="shared" si="8"/>
        <v>4.4999999999999991</v>
      </c>
      <c r="S13" s="39">
        <f t="shared" si="8"/>
        <v>4.7999999999999989</v>
      </c>
      <c r="T13" s="39">
        <f t="shared" si="8"/>
        <v>5.0999999999999988</v>
      </c>
      <c r="U13" s="39">
        <f t="shared" si="8"/>
        <v>5.3999999999999986</v>
      </c>
      <c r="V13" s="39">
        <f t="shared" si="8"/>
        <v>5.6999999999999984</v>
      </c>
      <c r="W13" s="39">
        <f t="shared" si="8"/>
        <v>5.9999999999999982</v>
      </c>
      <c r="X13" s="39">
        <f>+W13</f>
        <v>5.9999999999999982</v>
      </c>
      <c r="Y13" s="39">
        <f t="shared" ref="Y13:AA13" si="9">+X13</f>
        <v>5.9999999999999982</v>
      </c>
      <c r="Z13" s="39">
        <f t="shared" si="9"/>
        <v>5.9999999999999982</v>
      </c>
      <c r="AA13" s="39">
        <f t="shared" si="9"/>
        <v>5.9999999999999982</v>
      </c>
      <c r="AB13" s="39">
        <f>+AA13-1000*400/1000000</f>
        <v>5.5999999999999979</v>
      </c>
      <c r="AC13" s="39">
        <f t="shared" ref="AC13:AL13" si="10">+AB13-1000*300/1000000</f>
        <v>5.299999999999998</v>
      </c>
      <c r="AD13" s="39">
        <f t="shared" si="10"/>
        <v>4.9999999999999982</v>
      </c>
      <c r="AE13" s="39">
        <f t="shared" si="10"/>
        <v>4.6999999999999984</v>
      </c>
      <c r="AF13" s="39">
        <f t="shared" si="10"/>
        <v>4.3999999999999986</v>
      </c>
      <c r="AG13" s="39">
        <f t="shared" si="10"/>
        <v>4.0999999999999988</v>
      </c>
      <c r="AH13" s="39">
        <f t="shared" si="10"/>
        <v>3.7999999999999989</v>
      </c>
      <c r="AI13" s="39">
        <f t="shared" si="10"/>
        <v>3.4999999999999991</v>
      </c>
      <c r="AJ13" s="39">
        <f t="shared" si="10"/>
        <v>3.1999999999999993</v>
      </c>
      <c r="AK13" s="39">
        <f t="shared" si="10"/>
        <v>2.8999999999999995</v>
      </c>
      <c r="AL13" s="39">
        <f t="shared" si="10"/>
        <v>2.5999999999999996</v>
      </c>
      <c r="AM13" s="29"/>
      <c r="AN13" s="29"/>
    </row>
    <row r="14" spans="2:41" x14ac:dyDescent="0.25">
      <c r="B14" t="s">
        <v>183</v>
      </c>
      <c r="C14" s="1"/>
      <c r="D14" s="3"/>
      <c r="E14" s="3"/>
      <c r="F14" s="1"/>
      <c r="G14" s="76"/>
      <c r="H14" s="77">
        <f ca="1">RAND()</f>
        <v>0.21176704968232607</v>
      </c>
      <c r="I14" s="77">
        <f t="shared" ref="I14:AL14" ca="1" si="11">RAND()</f>
        <v>0.4959171093082293</v>
      </c>
      <c r="J14" s="77">
        <f t="shared" ca="1" si="11"/>
        <v>0.10013374579479961</v>
      </c>
      <c r="K14" s="77">
        <f t="shared" ca="1" si="11"/>
        <v>0.56290123764972255</v>
      </c>
      <c r="L14" s="77">
        <f t="shared" ca="1" si="11"/>
        <v>0.41210058174099529</v>
      </c>
      <c r="M14" s="77">
        <f t="shared" ca="1" si="11"/>
        <v>0.65524029083445745</v>
      </c>
      <c r="N14" s="77">
        <f t="shared" ca="1" si="11"/>
        <v>0.41737318375648846</v>
      </c>
      <c r="O14" s="77">
        <f t="shared" ca="1" si="11"/>
        <v>0.47868621211643703</v>
      </c>
      <c r="P14" s="77">
        <f t="shared" ca="1" si="11"/>
        <v>0.1978543462108997</v>
      </c>
      <c r="Q14" s="77">
        <f t="shared" ca="1" si="11"/>
        <v>0.65440859822869457</v>
      </c>
      <c r="R14" s="77">
        <f t="shared" ca="1" si="11"/>
        <v>0.35575792260505068</v>
      </c>
      <c r="S14" s="77">
        <f t="shared" ca="1" si="11"/>
        <v>0.19740624078187663</v>
      </c>
      <c r="T14" s="77">
        <f t="shared" ca="1" si="11"/>
        <v>0.23333534430136849</v>
      </c>
      <c r="U14" s="77">
        <f t="shared" ca="1" si="11"/>
        <v>0.18790111067194493</v>
      </c>
      <c r="V14" s="77">
        <f t="shared" ca="1" si="11"/>
        <v>6.1815014972435911E-2</v>
      </c>
      <c r="W14" s="77">
        <f t="shared" ca="1" si="11"/>
        <v>0.22765324199300419</v>
      </c>
      <c r="X14" s="77">
        <f t="shared" ca="1" si="11"/>
        <v>6.3129920155048147E-2</v>
      </c>
      <c r="Y14" s="77">
        <f t="shared" ca="1" si="11"/>
        <v>0.25066113929698819</v>
      </c>
      <c r="Z14" s="77">
        <f t="shared" ca="1" si="11"/>
        <v>0.75847115601458737</v>
      </c>
      <c r="AA14" s="77">
        <f t="shared" ca="1" si="11"/>
        <v>0.27015815600158088</v>
      </c>
      <c r="AB14" s="77">
        <f t="shared" ca="1" si="11"/>
        <v>0.20332277017063405</v>
      </c>
      <c r="AC14" s="77">
        <f t="shared" ca="1" si="11"/>
        <v>0.98824747103090704</v>
      </c>
      <c r="AD14" s="77">
        <f t="shared" ca="1" si="11"/>
        <v>0.62156593246170144</v>
      </c>
      <c r="AE14" s="77">
        <f t="shared" ca="1" si="11"/>
        <v>0.85408396132461295</v>
      </c>
      <c r="AF14" s="77">
        <f t="shared" ca="1" si="11"/>
        <v>0.63192375362049313</v>
      </c>
      <c r="AG14" s="77">
        <f t="shared" ca="1" si="11"/>
        <v>0.39712944998668342</v>
      </c>
      <c r="AH14" s="77">
        <f t="shared" ca="1" si="11"/>
        <v>0.40201836108572797</v>
      </c>
      <c r="AI14" s="77">
        <f t="shared" ca="1" si="11"/>
        <v>0.9171298744842129</v>
      </c>
      <c r="AJ14" s="77">
        <f t="shared" ca="1" si="11"/>
        <v>0.41225679862469311</v>
      </c>
      <c r="AK14" s="77">
        <f t="shared" ca="1" si="11"/>
        <v>0.65185760447088703</v>
      </c>
      <c r="AL14" s="77">
        <f t="shared" ca="1" si="11"/>
        <v>0.13733979259915596</v>
      </c>
      <c r="AM14" s="76"/>
      <c r="AN14" s="76"/>
      <c r="AO14" s="76"/>
    </row>
    <row r="15" spans="2:41" x14ac:dyDescent="0.25">
      <c r="B15" t="s">
        <v>0</v>
      </c>
      <c r="C15" s="1"/>
      <c r="D15" s="3"/>
      <c r="E15" s="3"/>
      <c r="F15" s="3"/>
      <c r="G15" s="76"/>
      <c r="H15" s="77">
        <f ca="1">IF(H14&lt;$D$13/($E$13+$D$13),(1-$D$13)*H13+H13*SQRT(H14*$D$13*($E$13+$D$13)),(1+$E$13)*H13+H13*SQRT((1-H14)*$E$13*($E$13+$D$13)))</f>
        <v>1.4476192462361019</v>
      </c>
      <c r="I15" s="77">
        <f ca="1">IF(I14&lt;$D$13/($E$13+$D$13),(1-$D$13)*I13+I13*SQRT(I14*$D$13*($E$13+$D$13)),(1+$E$13)*I13+I13*SQRT((1-I14)*$E$13*($E$13+$D$13)))</f>
        <v>1.7992635732188034</v>
      </c>
      <c r="J15" s="77">
        <f t="shared" ref="J15:AL15" ca="1" si="12">IF(J14&lt;$D$13/($E$13+$D$13),(1-$D$13)*J13+J13*SQRT(J14*$D$13*($E$13+$D$13)),(1+$E$13)*J13+J13*SQRT((1-J14)*$E$13*($E$13+$D$13)))</f>
        <v>1.9839776376543981</v>
      </c>
      <c r="K15" s="77">
        <f t="shared" ca="1" si="12"/>
        <v>2.864396473730654</v>
      </c>
      <c r="L15" s="77">
        <f t="shared" ca="1" si="12"/>
        <v>2.6751209187683438</v>
      </c>
      <c r="M15" s="77">
        <f t="shared" ca="1" si="12"/>
        <v>3.5491119179200337</v>
      </c>
      <c r="N15" s="77">
        <f t="shared" ca="1" si="12"/>
        <v>3.2715027021805323</v>
      </c>
      <c r="O15" s="77">
        <f t="shared" ca="1" si="12"/>
        <v>3.5922434757104522</v>
      </c>
      <c r="P15" s="77">
        <f t="shared" ca="1" si="12"/>
        <v>3.7553309848293837</v>
      </c>
      <c r="Q15" s="77">
        <f t="shared" ca="1" si="12"/>
        <v>4.9691770991129225</v>
      </c>
      <c r="R15" s="77">
        <f t="shared" ca="1" si="12"/>
        <v>4.4295812938687114</v>
      </c>
      <c r="S15" s="77">
        <f t="shared" ca="1" si="12"/>
        <v>4.6216037064631141</v>
      </c>
      <c r="T15" s="77">
        <f t="shared" ca="1" si="12"/>
        <v>4.9383978273548372</v>
      </c>
      <c r="U15" s="77">
        <f t="shared" ca="1" si="12"/>
        <v>5.1910346322424248</v>
      </c>
      <c r="V15" s="77">
        <f t="shared" ca="1" si="12"/>
        <v>5.3304180548979767</v>
      </c>
      <c r="W15" s="77">
        <f t="shared" ca="1" si="12"/>
        <v>5.8048584125777332</v>
      </c>
      <c r="X15" s="77">
        <f t="shared" ca="1" si="12"/>
        <v>5.6131983642330168</v>
      </c>
      <c r="Y15" s="77">
        <f t="shared" ca="1" si="12"/>
        <v>5.8248246936017614</v>
      </c>
      <c r="Z15" s="77">
        <f t="shared" ca="1" si="12"/>
        <v>7.0170141096767544</v>
      </c>
      <c r="AA15" s="77">
        <f t="shared" ca="1" si="12"/>
        <v>5.8410372686305969</v>
      </c>
      <c r="AB15" s="77">
        <f t="shared" ca="1" si="12"/>
        <v>5.3971050846053865</v>
      </c>
      <c r="AC15" s="77">
        <f t="shared" ca="1" si="12"/>
        <v>5.9112562045313224</v>
      </c>
      <c r="AD15" s="77">
        <f t="shared" ca="1" si="12"/>
        <v>5.9349908433164398</v>
      </c>
      <c r="AE15" s="77">
        <f t="shared" ca="1" si="12"/>
        <v>5.4239009765376762</v>
      </c>
      <c r="AF15" s="77">
        <f t="shared" ca="1" si="12"/>
        <v>5.217517049413857</v>
      </c>
      <c r="AG15" s="77">
        <f t="shared" ca="1" si="12"/>
        <v>4.0553969363384459</v>
      </c>
      <c r="AH15" s="77">
        <f t="shared" ca="1" si="12"/>
        <v>3.7607387601690738</v>
      </c>
      <c r="AI15" s="77">
        <f t="shared" ca="1" si="12"/>
        <v>3.9924892302995829</v>
      </c>
      <c r="AJ15" s="77">
        <f t="shared" ca="1" si="12"/>
        <v>3.1705687394719826</v>
      </c>
      <c r="AK15" s="77">
        <f t="shared" ca="1" si="12"/>
        <v>3.4319866751042225</v>
      </c>
      <c r="AL15" s="77">
        <f t="shared" ca="1" si="12"/>
        <v>2.4762656961946252</v>
      </c>
      <c r="AM15" s="78"/>
      <c r="AN15" s="78"/>
      <c r="AO15" s="79"/>
    </row>
    <row r="16" spans="2:41" x14ac:dyDescent="0.25">
      <c r="B16" t="s">
        <v>131</v>
      </c>
      <c r="C16" s="37">
        <v>2</v>
      </c>
      <c r="E16" s="1" t="s">
        <v>187</v>
      </c>
      <c r="F16" s="1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9"/>
    </row>
    <row r="17" spans="2:41" x14ac:dyDescent="0.25">
      <c r="B17" t="s">
        <v>184</v>
      </c>
      <c r="C17" s="46">
        <v>0.1</v>
      </c>
      <c r="D17" s="1"/>
      <c r="E17" s="1"/>
      <c r="F17" s="1"/>
      <c r="G17" s="76"/>
      <c r="H17" s="27">
        <f ca="1">_xlfn.NORM.INV(RAND(),$C$18,0.1*$C$18)</f>
        <v>16.4957407548033</v>
      </c>
      <c r="I17" s="27">
        <f t="shared" ref="I17:AL17" ca="1" si="13">_xlfn.NORM.INV(RAND(),$C$18,0.1*$C$18)</f>
        <v>15.474105800687779</v>
      </c>
      <c r="J17" s="27">
        <f t="shared" ca="1" si="13"/>
        <v>16.390083274328838</v>
      </c>
      <c r="K17" s="27">
        <f t="shared" ca="1" si="13"/>
        <v>15.611389919826618</v>
      </c>
      <c r="L17" s="27">
        <f t="shared" ca="1" si="13"/>
        <v>13.386225028657705</v>
      </c>
      <c r="M17" s="27">
        <f t="shared" ca="1" si="13"/>
        <v>18.647301679545585</v>
      </c>
      <c r="N17" s="27">
        <f t="shared" ca="1" si="13"/>
        <v>16.481280707404363</v>
      </c>
      <c r="O17" s="27">
        <f t="shared" ca="1" si="13"/>
        <v>16.200033451532338</v>
      </c>
      <c r="P17" s="27">
        <f t="shared" ca="1" si="13"/>
        <v>16.195497723346573</v>
      </c>
      <c r="Q17" s="27">
        <f t="shared" ca="1" si="13"/>
        <v>15.271361001681546</v>
      </c>
      <c r="R17" s="27">
        <f t="shared" ca="1" si="13"/>
        <v>15.954464714471378</v>
      </c>
      <c r="S17" s="27">
        <f t="shared" ca="1" si="13"/>
        <v>12.267025267961117</v>
      </c>
      <c r="T17" s="27">
        <f t="shared" ca="1" si="13"/>
        <v>16.382271967248002</v>
      </c>
      <c r="U17" s="27">
        <f t="shared" ca="1" si="13"/>
        <v>12.550065818935277</v>
      </c>
      <c r="V17" s="27">
        <f t="shared" ca="1" si="13"/>
        <v>12.265068040987767</v>
      </c>
      <c r="W17" s="27">
        <f t="shared" ca="1" si="13"/>
        <v>16.559902781049963</v>
      </c>
      <c r="X17" s="27">
        <f t="shared" ca="1" si="13"/>
        <v>14.307624302278947</v>
      </c>
      <c r="Y17" s="27">
        <f t="shared" ca="1" si="13"/>
        <v>14.391041672808093</v>
      </c>
      <c r="Z17" s="27">
        <f t="shared" ca="1" si="13"/>
        <v>14.607908662755882</v>
      </c>
      <c r="AA17" s="27">
        <f t="shared" ca="1" si="13"/>
        <v>16.257309611322775</v>
      </c>
      <c r="AB17" s="27">
        <f t="shared" ca="1" si="13"/>
        <v>15.876640146535106</v>
      </c>
      <c r="AC17" s="27">
        <f t="shared" ca="1" si="13"/>
        <v>13.857658290425626</v>
      </c>
      <c r="AD17" s="27">
        <f t="shared" ca="1" si="13"/>
        <v>14.722389220725628</v>
      </c>
      <c r="AE17" s="27">
        <f t="shared" ca="1" si="13"/>
        <v>13.216697970087145</v>
      </c>
      <c r="AF17" s="27">
        <f t="shared" ca="1" si="13"/>
        <v>15.31366763376084</v>
      </c>
      <c r="AG17" s="27">
        <f t="shared" ca="1" si="13"/>
        <v>16.09640236921954</v>
      </c>
      <c r="AH17" s="27">
        <f t="shared" ca="1" si="13"/>
        <v>13.370431517744445</v>
      </c>
      <c r="AI17" s="27">
        <f t="shared" ca="1" si="13"/>
        <v>14.706196444289175</v>
      </c>
      <c r="AJ17" s="27">
        <f t="shared" ca="1" si="13"/>
        <v>16.15863682827807</v>
      </c>
      <c r="AK17" s="27">
        <f t="shared" ca="1" si="13"/>
        <v>13.492616960074733</v>
      </c>
      <c r="AL17" s="27">
        <f t="shared" ca="1" si="13"/>
        <v>14.858712032543506</v>
      </c>
      <c r="AM17" s="76"/>
      <c r="AN17" s="76"/>
      <c r="AO17" s="79"/>
    </row>
    <row r="18" spans="2:41" x14ac:dyDescent="0.25">
      <c r="B18" t="s">
        <v>132</v>
      </c>
      <c r="C18" s="37">
        <v>15</v>
      </c>
      <c r="D18" s="1"/>
      <c r="E18" s="1"/>
      <c r="F18" s="1"/>
      <c r="G18" s="76"/>
      <c r="H18" s="27">
        <f ca="1">IF(H17&lt;$C$18*(1-$C$17),$C$18*(1-$C$17),IF(H17&gt;(1+$C$17)*$C$18,$C$18*(1+$C$17),H17))</f>
        <v>16.4957407548033</v>
      </c>
      <c r="I18" s="27">
        <f t="shared" ref="I18:AL18" ca="1" si="14">IF(I17&lt;$C$18*(1-$C$17),$C$18*(1-$C$17),IF(I17&gt;(1+$C$17)*$C$18,$C$18*(1+$C$17),I17))</f>
        <v>15.474105800687779</v>
      </c>
      <c r="J18" s="27">
        <f t="shared" ca="1" si="14"/>
        <v>16.390083274328838</v>
      </c>
      <c r="K18" s="27">
        <f t="shared" ca="1" si="14"/>
        <v>15.611389919826618</v>
      </c>
      <c r="L18" s="27">
        <f t="shared" ca="1" si="14"/>
        <v>13.5</v>
      </c>
      <c r="M18" s="27">
        <f t="shared" ca="1" si="14"/>
        <v>16.5</v>
      </c>
      <c r="N18" s="27">
        <f t="shared" ca="1" si="14"/>
        <v>16.481280707404363</v>
      </c>
      <c r="O18" s="27">
        <f t="shared" ca="1" si="14"/>
        <v>16.200033451532338</v>
      </c>
      <c r="P18" s="27">
        <f t="shared" ca="1" si="14"/>
        <v>16.195497723346573</v>
      </c>
      <c r="Q18" s="27">
        <f t="shared" ca="1" si="14"/>
        <v>15.271361001681546</v>
      </c>
      <c r="R18" s="27">
        <f t="shared" ca="1" si="14"/>
        <v>15.954464714471378</v>
      </c>
      <c r="S18" s="27">
        <f t="shared" ca="1" si="14"/>
        <v>13.5</v>
      </c>
      <c r="T18" s="27">
        <f t="shared" ca="1" si="14"/>
        <v>16.382271967248002</v>
      </c>
      <c r="U18" s="27">
        <f t="shared" ca="1" si="14"/>
        <v>13.5</v>
      </c>
      <c r="V18" s="27">
        <f t="shared" ca="1" si="14"/>
        <v>13.5</v>
      </c>
      <c r="W18" s="27">
        <f t="shared" ca="1" si="14"/>
        <v>16.5</v>
      </c>
      <c r="X18" s="27">
        <f t="shared" ca="1" si="14"/>
        <v>14.307624302278947</v>
      </c>
      <c r="Y18" s="27">
        <f t="shared" ca="1" si="14"/>
        <v>14.391041672808093</v>
      </c>
      <c r="Z18" s="27">
        <f t="shared" ca="1" si="14"/>
        <v>14.607908662755882</v>
      </c>
      <c r="AA18" s="27">
        <f t="shared" ca="1" si="14"/>
        <v>16.257309611322775</v>
      </c>
      <c r="AB18" s="27">
        <f t="shared" ca="1" si="14"/>
        <v>15.876640146535106</v>
      </c>
      <c r="AC18" s="27">
        <f t="shared" ca="1" si="14"/>
        <v>13.857658290425626</v>
      </c>
      <c r="AD18" s="27">
        <f t="shared" ca="1" si="14"/>
        <v>14.722389220725628</v>
      </c>
      <c r="AE18" s="27">
        <f t="shared" ca="1" si="14"/>
        <v>13.5</v>
      </c>
      <c r="AF18" s="27">
        <f t="shared" ca="1" si="14"/>
        <v>15.31366763376084</v>
      </c>
      <c r="AG18" s="27">
        <f t="shared" ca="1" si="14"/>
        <v>16.09640236921954</v>
      </c>
      <c r="AH18" s="27">
        <f t="shared" ca="1" si="14"/>
        <v>13.5</v>
      </c>
      <c r="AI18" s="27">
        <f t="shared" ca="1" si="14"/>
        <v>14.706196444289175</v>
      </c>
      <c r="AJ18" s="27">
        <f t="shared" ca="1" si="14"/>
        <v>16.15863682827807</v>
      </c>
      <c r="AK18" s="27">
        <f t="shared" ca="1" si="14"/>
        <v>13.5</v>
      </c>
      <c r="AL18" s="27">
        <f t="shared" ca="1" si="14"/>
        <v>14.858712032543506</v>
      </c>
      <c r="AM18" s="1"/>
      <c r="AN18" s="1"/>
    </row>
    <row r="19" spans="2:41" x14ac:dyDescent="0.25">
      <c r="B19" t="s">
        <v>138</v>
      </c>
      <c r="C19" s="38">
        <v>0.2</v>
      </c>
      <c r="D19" s="38">
        <v>0.2</v>
      </c>
      <c r="E19" s="38">
        <v>0.2</v>
      </c>
      <c r="F19" s="38">
        <v>0.2</v>
      </c>
      <c r="G19" s="38">
        <v>0.2</v>
      </c>
      <c r="H19" s="38">
        <v>0.2</v>
      </c>
      <c r="I19" s="38">
        <v>0.2</v>
      </c>
      <c r="J19" s="38">
        <v>0.2</v>
      </c>
      <c r="K19" s="38">
        <v>0.2</v>
      </c>
      <c r="L19" s="38">
        <v>0.2</v>
      </c>
      <c r="M19" s="38">
        <v>0.2</v>
      </c>
      <c r="N19" s="38">
        <v>0.2</v>
      </c>
      <c r="O19" s="38">
        <v>0.2</v>
      </c>
      <c r="P19" s="38">
        <v>0.2</v>
      </c>
      <c r="Q19" s="38">
        <v>0.2</v>
      </c>
      <c r="R19" s="38">
        <v>0.2</v>
      </c>
      <c r="S19" s="38">
        <v>0.2</v>
      </c>
      <c r="T19" s="38">
        <v>0.2</v>
      </c>
      <c r="U19" s="38">
        <v>0.2</v>
      </c>
      <c r="V19" s="38">
        <v>0.2</v>
      </c>
      <c r="W19" s="38">
        <v>0.2</v>
      </c>
      <c r="X19" s="38">
        <v>0.2</v>
      </c>
      <c r="Y19" s="38">
        <v>0.2</v>
      </c>
      <c r="Z19" s="38">
        <v>0.2</v>
      </c>
      <c r="AA19" s="38">
        <v>0.2</v>
      </c>
      <c r="AB19" s="38">
        <v>0.2</v>
      </c>
      <c r="AC19" s="38">
        <v>0.2</v>
      </c>
      <c r="AD19" s="38">
        <v>0.2</v>
      </c>
      <c r="AE19" s="38">
        <v>0.2</v>
      </c>
      <c r="AF19" s="38">
        <v>0.2</v>
      </c>
      <c r="AG19" s="38">
        <v>0.2</v>
      </c>
      <c r="AH19" s="38">
        <v>0.2</v>
      </c>
      <c r="AI19" s="38">
        <v>0.2</v>
      </c>
      <c r="AJ19" s="38">
        <v>0.2</v>
      </c>
      <c r="AK19" s="38">
        <v>0.2</v>
      </c>
      <c r="AL19" s="38">
        <v>0.2</v>
      </c>
      <c r="AM19" s="1"/>
      <c r="AN19" s="1"/>
    </row>
    <row r="20" spans="2:41" x14ac:dyDescent="0.25">
      <c r="B20" t="s">
        <v>133</v>
      </c>
      <c r="C20" s="37">
        <v>15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2:4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2:41" x14ac:dyDescent="0.25">
      <c r="B22" s="2" t="s">
        <v>150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2:41" x14ac:dyDescent="0.25">
      <c r="B23" t="s">
        <v>120</v>
      </c>
      <c r="C23" s="1"/>
      <c r="D23" s="37">
        <v>20</v>
      </c>
      <c r="E23" s="37">
        <v>50</v>
      </c>
      <c r="F23" s="37">
        <v>200</v>
      </c>
      <c r="G23" s="37">
        <v>200</v>
      </c>
      <c r="H23" s="37">
        <v>50</v>
      </c>
      <c r="I23" s="37">
        <v>10</v>
      </c>
      <c r="J23" s="37">
        <v>10</v>
      </c>
      <c r="K23" s="37">
        <v>10</v>
      </c>
      <c r="L23" s="37">
        <v>10</v>
      </c>
      <c r="M23" s="37">
        <v>10</v>
      </c>
      <c r="N23" s="37">
        <v>10</v>
      </c>
      <c r="O23" s="37">
        <v>10</v>
      </c>
      <c r="P23" s="37">
        <v>10</v>
      </c>
      <c r="Q23" s="37">
        <v>10</v>
      </c>
      <c r="R23" s="37">
        <v>10</v>
      </c>
      <c r="S23" s="37">
        <v>10</v>
      </c>
      <c r="T23" s="37">
        <v>10</v>
      </c>
      <c r="U23" s="37">
        <v>10</v>
      </c>
      <c r="V23" s="37">
        <v>10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80">
        <f>0.05*(SUM(D23:AK23))</f>
        <v>33</v>
      </c>
      <c r="AM23" s="1"/>
      <c r="AN23" s="1"/>
    </row>
    <row r="24" spans="2:41" x14ac:dyDescent="0.25">
      <c r="B24" t="s">
        <v>137</v>
      </c>
      <c r="C24" s="37">
        <v>0.8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2:41" x14ac:dyDescent="0.25">
      <c r="B25" t="s">
        <v>105</v>
      </c>
      <c r="C25" s="37">
        <v>1.3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2:41" x14ac:dyDescent="0.25">
      <c r="B26" t="s">
        <v>113</v>
      </c>
      <c r="C26" s="3"/>
      <c r="D26" s="3"/>
      <c r="E26" s="46"/>
      <c r="F26" s="46"/>
      <c r="G26" s="46"/>
      <c r="H26" s="3"/>
      <c r="I26" s="3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2:41" x14ac:dyDescent="0.25">
      <c r="B27" t="s">
        <v>139</v>
      </c>
      <c r="C27" s="38">
        <v>0.05</v>
      </c>
      <c r="D27" s="3"/>
      <c r="E27" s="3"/>
      <c r="F27" s="3"/>
      <c r="G27" s="3"/>
      <c r="H27" s="3"/>
      <c r="I27" s="27"/>
      <c r="J27" s="3"/>
      <c r="K27" s="5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41" x14ac:dyDescent="0.25">
      <c r="B28" t="s">
        <v>140</v>
      </c>
      <c r="C28" s="38">
        <v>0.01</v>
      </c>
      <c r="D28" s="3"/>
      <c r="E28" s="3"/>
      <c r="F28" s="3"/>
      <c r="G28" s="3"/>
      <c r="H28" s="27"/>
      <c r="I28" s="27"/>
      <c r="J28" s="27"/>
      <c r="K28" s="27"/>
      <c r="L28" s="2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41" x14ac:dyDescent="0.25">
      <c r="B29" t="s">
        <v>147</v>
      </c>
      <c r="C29" s="47">
        <v>15</v>
      </c>
      <c r="D29" s="3"/>
      <c r="E29" s="3"/>
      <c r="F29" s="3"/>
      <c r="G29" s="3"/>
      <c r="H29" s="27"/>
      <c r="I29" s="27"/>
      <c r="J29" s="27"/>
      <c r="K29" s="27"/>
      <c r="L29" s="2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41" x14ac:dyDescent="0.25">
      <c r="B30" t="s">
        <v>141</v>
      </c>
      <c r="C30" s="38">
        <v>0.1</v>
      </c>
      <c r="D30" s="1"/>
      <c r="E30" s="1"/>
      <c r="F30" s="1"/>
      <c r="G30" s="1"/>
      <c r="H30" s="27"/>
      <c r="I30" s="27"/>
      <c r="J30" s="27"/>
      <c r="K30" s="27"/>
      <c r="L30" s="2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41" x14ac:dyDescent="0.25">
      <c r="AM31" s="1"/>
      <c r="AN31" s="1"/>
    </row>
    <row r="32" spans="2:41" x14ac:dyDescent="0.25">
      <c r="B32" s="2" t="s">
        <v>151</v>
      </c>
      <c r="AM32" s="1"/>
      <c r="AN32" s="1"/>
    </row>
    <row r="33" spans="2:40" x14ac:dyDescent="0.25">
      <c r="B33" t="s">
        <v>152</v>
      </c>
      <c r="C33" s="38">
        <v>0.05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1"/>
      <c r="AN33" s="1"/>
    </row>
    <row r="34" spans="2:40" x14ac:dyDescent="0.25">
      <c r="B34" t="s">
        <v>135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2:40" x14ac:dyDescent="0.25">
      <c r="B35" t="s">
        <v>48</v>
      </c>
      <c r="C35" s="37">
        <v>1</v>
      </c>
      <c r="D35" s="1">
        <v>0</v>
      </c>
      <c r="E35" s="1">
        <v>0</v>
      </c>
      <c r="F35" s="1">
        <f t="shared" ref="F35:G35" ca="1" si="15">+$C$35/12*F13*F10</f>
        <v>0</v>
      </c>
      <c r="G35" s="1">
        <f t="shared" ca="1" si="15"/>
        <v>0</v>
      </c>
      <c r="H35" s="28">
        <f ca="1">+$C$35/12*H15*H10</f>
        <v>7.5043167533372257</v>
      </c>
      <c r="I35" s="28">
        <f t="shared" ref="I35:AL35" ca="1" si="16">+$C$35/12*I15*I10</f>
        <v>8.6059973066200026</v>
      </c>
      <c r="J35" s="28">
        <f t="shared" ca="1" si="16"/>
        <v>10.6248714174823</v>
      </c>
      <c r="K35" s="28">
        <f t="shared" ca="1" si="16"/>
        <v>16.0514928164346</v>
      </c>
      <c r="L35" s="28">
        <f t="shared" ca="1" si="16"/>
        <v>15.486542820128708</v>
      </c>
      <c r="M35" s="28">
        <f t="shared" ca="1" si="16"/>
        <v>21.567561355711376</v>
      </c>
      <c r="N35" s="28">
        <f t="shared" ca="1" si="16"/>
        <v>23.302260928219553</v>
      </c>
      <c r="O35" s="28">
        <f t="shared" ca="1" si="16"/>
        <v>28.653397993666751</v>
      </c>
      <c r="P35" s="28">
        <f t="shared" ca="1" si="16"/>
        <v>26.952623357398842</v>
      </c>
      <c r="Q35" s="28">
        <f t="shared" ca="1" si="16"/>
        <v>40.284341456837083</v>
      </c>
      <c r="R35" s="28">
        <f t="shared" ca="1" si="16"/>
        <v>34.007614406848418</v>
      </c>
      <c r="S35" s="28">
        <f t="shared" ca="1" si="16"/>
        <v>35.772920452394651</v>
      </c>
      <c r="T35" s="28">
        <f t="shared" ca="1" si="16"/>
        <v>35.261583703948808</v>
      </c>
      <c r="U35" s="28">
        <f t="shared" ca="1" si="16"/>
        <v>41.091857888307182</v>
      </c>
      <c r="V35" s="28">
        <f t="shared" ca="1" si="16"/>
        <v>41.483821550003668</v>
      </c>
      <c r="W35" s="28">
        <f t="shared" ca="1" si="16"/>
        <v>41.541360973033697</v>
      </c>
      <c r="X35" s="28">
        <f t="shared" ca="1" si="16"/>
        <v>38.166896294761059</v>
      </c>
      <c r="Y35" s="28">
        <f t="shared" ca="1" si="16"/>
        <v>43.564468529516546</v>
      </c>
      <c r="Z35" s="28">
        <f t="shared" ca="1" si="16"/>
        <v>51.720466058514639</v>
      </c>
      <c r="AA35" s="28">
        <f t="shared" ca="1" si="16"/>
        <v>46.307447133338329</v>
      </c>
      <c r="AB35" s="28">
        <f t="shared" ca="1" si="16"/>
        <v>43.768047567874241</v>
      </c>
      <c r="AC35" s="28">
        <f t="shared" ca="1" si="16"/>
        <v>43.961125114459541</v>
      </c>
      <c r="AD35" s="28">
        <f t="shared" ca="1" si="16"/>
        <v>39.457492152692808</v>
      </c>
      <c r="AE35" s="28">
        <f t="shared" ca="1" si="16"/>
        <v>35.454122331719169</v>
      </c>
      <c r="AF35" s="28">
        <f t="shared" ca="1" si="16"/>
        <v>39.557303277765378</v>
      </c>
      <c r="AG35" s="28">
        <f t="shared" ca="1" si="16"/>
        <v>33.499621630430582</v>
      </c>
      <c r="AH35" s="28">
        <f t="shared" ca="1" si="16"/>
        <v>29.063703396882985</v>
      </c>
      <c r="AI35" s="28">
        <f t="shared" ca="1" si="16"/>
        <v>33.126599921354526</v>
      </c>
      <c r="AJ35" s="28">
        <f t="shared" ca="1" si="16"/>
        <v>25.109820454105975</v>
      </c>
      <c r="AK35" s="28">
        <f t="shared" ca="1" si="16"/>
        <v>30.850735515944436</v>
      </c>
      <c r="AL35" s="28">
        <f t="shared" ca="1" si="16"/>
        <v>22.414710801790438</v>
      </c>
      <c r="AN35" s="1"/>
    </row>
    <row r="36" spans="2:40" x14ac:dyDescent="0.25">
      <c r="B36" t="s">
        <v>49</v>
      </c>
      <c r="C36" s="37">
        <v>0.5</v>
      </c>
      <c r="D36" s="1">
        <v>0</v>
      </c>
      <c r="E36" s="1">
        <v>0</v>
      </c>
      <c r="F36" s="1">
        <f t="shared" ref="F36:G36" ca="1" si="17">+$C$36/12*F13*F10</f>
        <v>0</v>
      </c>
      <c r="G36" s="1">
        <f t="shared" ca="1" si="17"/>
        <v>0</v>
      </c>
      <c r="H36" s="28">
        <f ca="1">+$C$36/12*H15*H10</f>
        <v>3.7521583766686128</v>
      </c>
      <c r="I36" s="28">
        <f t="shared" ref="I36:AL36" ca="1" si="18">+$C$36/12*I15*I10</f>
        <v>4.3029986533100013</v>
      </c>
      <c r="J36" s="28">
        <f t="shared" ca="1" si="18"/>
        <v>5.31243570874115</v>
      </c>
      <c r="K36" s="28">
        <f t="shared" ca="1" si="18"/>
        <v>8.0257464082172998</v>
      </c>
      <c r="L36" s="28">
        <f t="shared" ca="1" si="18"/>
        <v>7.743271410064354</v>
      </c>
      <c r="M36" s="28">
        <f t="shared" ca="1" si="18"/>
        <v>10.783780677855688</v>
      </c>
      <c r="N36" s="28">
        <f t="shared" ca="1" si="18"/>
        <v>11.651130464109777</v>
      </c>
      <c r="O36" s="28">
        <f t="shared" ca="1" si="18"/>
        <v>14.326698996833375</v>
      </c>
      <c r="P36" s="28">
        <f t="shared" ca="1" si="18"/>
        <v>13.476311678699421</v>
      </c>
      <c r="Q36" s="28">
        <f t="shared" ca="1" si="18"/>
        <v>20.142170728418542</v>
      </c>
      <c r="R36" s="28">
        <f t="shared" ca="1" si="18"/>
        <v>17.003807203424209</v>
      </c>
      <c r="S36" s="28">
        <f t="shared" ca="1" si="18"/>
        <v>17.886460226197325</v>
      </c>
      <c r="T36" s="28">
        <f t="shared" ca="1" si="18"/>
        <v>17.630791851974404</v>
      </c>
      <c r="U36" s="28">
        <f t="shared" ca="1" si="18"/>
        <v>20.545928944153591</v>
      </c>
      <c r="V36" s="28">
        <f t="shared" ca="1" si="18"/>
        <v>20.741910775001834</v>
      </c>
      <c r="W36" s="28">
        <f t="shared" ca="1" si="18"/>
        <v>20.770680486516849</v>
      </c>
      <c r="X36" s="28">
        <f t="shared" ca="1" si="18"/>
        <v>19.08344814738053</v>
      </c>
      <c r="Y36" s="28">
        <f t="shared" ca="1" si="18"/>
        <v>21.782234264758273</v>
      </c>
      <c r="Z36" s="28">
        <f t="shared" ca="1" si="18"/>
        <v>25.860233029257319</v>
      </c>
      <c r="AA36" s="28">
        <f t="shared" ca="1" si="18"/>
        <v>23.153723566669164</v>
      </c>
      <c r="AB36" s="28">
        <f t="shared" ca="1" si="18"/>
        <v>21.884023783937121</v>
      </c>
      <c r="AC36" s="28">
        <f t="shared" ca="1" si="18"/>
        <v>21.980562557229771</v>
      </c>
      <c r="AD36" s="28">
        <f t="shared" ca="1" si="18"/>
        <v>19.728746076346404</v>
      </c>
      <c r="AE36" s="28">
        <f t="shared" ca="1" si="18"/>
        <v>17.727061165859585</v>
      </c>
      <c r="AF36" s="28">
        <f t="shared" ca="1" si="18"/>
        <v>19.778651638882689</v>
      </c>
      <c r="AG36" s="28">
        <f t="shared" ca="1" si="18"/>
        <v>16.749810815215291</v>
      </c>
      <c r="AH36" s="28">
        <f t="shared" ca="1" si="18"/>
        <v>14.531851698441493</v>
      </c>
      <c r="AI36" s="28">
        <f t="shared" ca="1" si="18"/>
        <v>16.563299960677263</v>
      </c>
      <c r="AJ36" s="28">
        <f t="shared" ca="1" si="18"/>
        <v>12.554910227052988</v>
      </c>
      <c r="AK36" s="28">
        <f t="shared" ca="1" si="18"/>
        <v>15.425367757972218</v>
      </c>
      <c r="AL36" s="28">
        <f t="shared" ca="1" si="18"/>
        <v>11.207355400895219</v>
      </c>
      <c r="AM36" s="1"/>
      <c r="AN36" s="1"/>
    </row>
    <row r="37" spans="2:40" x14ac:dyDescent="0.25">
      <c r="B37" t="s">
        <v>50</v>
      </c>
      <c r="C37" s="37">
        <v>1</v>
      </c>
      <c r="D37" s="1">
        <v>0</v>
      </c>
      <c r="E37" s="1">
        <v>0</v>
      </c>
      <c r="F37" s="1">
        <f t="shared" ref="F37:G37" ca="1" si="19">+$C$37/12*F13*F10</f>
        <v>0</v>
      </c>
      <c r="G37" s="1">
        <f t="shared" ca="1" si="19"/>
        <v>0</v>
      </c>
      <c r="H37" s="28">
        <f ca="1">+$C$37/12*H15*H10</f>
        <v>7.5043167533372257</v>
      </c>
      <c r="I37" s="28">
        <f t="shared" ref="I37:AL37" ca="1" si="20">+$C$37/12*I15*I10</f>
        <v>8.6059973066200026</v>
      </c>
      <c r="J37" s="28">
        <f t="shared" ca="1" si="20"/>
        <v>10.6248714174823</v>
      </c>
      <c r="K37" s="28">
        <f t="shared" ca="1" si="20"/>
        <v>16.0514928164346</v>
      </c>
      <c r="L37" s="28">
        <f t="shared" ca="1" si="20"/>
        <v>15.486542820128708</v>
      </c>
      <c r="M37" s="28">
        <f t="shared" ca="1" si="20"/>
        <v>21.567561355711376</v>
      </c>
      <c r="N37" s="28">
        <f t="shared" ca="1" si="20"/>
        <v>23.302260928219553</v>
      </c>
      <c r="O37" s="28">
        <f t="shared" ca="1" si="20"/>
        <v>28.653397993666751</v>
      </c>
      <c r="P37" s="28">
        <f t="shared" ca="1" si="20"/>
        <v>26.952623357398842</v>
      </c>
      <c r="Q37" s="28">
        <f t="shared" ca="1" si="20"/>
        <v>40.284341456837083</v>
      </c>
      <c r="R37" s="28">
        <f t="shared" ca="1" si="20"/>
        <v>34.007614406848418</v>
      </c>
      <c r="S37" s="28">
        <f t="shared" ca="1" si="20"/>
        <v>35.772920452394651</v>
      </c>
      <c r="T37" s="28">
        <f t="shared" ca="1" si="20"/>
        <v>35.261583703948808</v>
      </c>
      <c r="U37" s="28">
        <f t="shared" ca="1" si="20"/>
        <v>41.091857888307182</v>
      </c>
      <c r="V37" s="28">
        <f t="shared" ca="1" si="20"/>
        <v>41.483821550003668</v>
      </c>
      <c r="W37" s="28">
        <f t="shared" ca="1" si="20"/>
        <v>41.541360973033697</v>
      </c>
      <c r="X37" s="28">
        <f t="shared" ca="1" si="20"/>
        <v>38.166896294761059</v>
      </c>
      <c r="Y37" s="28">
        <f t="shared" ca="1" si="20"/>
        <v>43.564468529516546</v>
      </c>
      <c r="Z37" s="28">
        <f t="shared" ca="1" si="20"/>
        <v>51.720466058514639</v>
      </c>
      <c r="AA37" s="28">
        <f t="shared" ca="1" si="20"/>
        <v>46.307447133338329</v>
      </c>
      <c r="AB37" s="28">
        <f t="shared" ca="1" si="20"/>
        <v>43.768047567874241</v>
      </c>
      <c r="AC37" s="28">
        <f t="shared" ca="1" si="20"/>
        <v>43.961125114459541</v>
      </c>
      <c r="AD37" s="28">
        <f t="shared" ca="1" si="20"/>
        <v>39.457492152692808</v>
      </c>
      <c r="AE37" s="28">
        <f t="shared" ca="1" si="20"/>
        <v>35.454122331719169</v>
      </c>
      <c r="AF37" s="28">
        <f t="shared" ca="1" si="20"/>
        <v>39.557303277765378</v>
      </c>
      <c r="AG37" s="28">
        <f t="shared" ca="1" si="20"/>
        <v>33.499621630430582</v>
      </c>
      <c r="AH37" s="28">
        <f t="shared" ca="1" si="20"/>
        <v>29.063703396882985</v>
      </c>
      <c r="AI37" s="28">
        <f t="shared" ca="1" si="20"/>
        <v>33.126599921354526</v>
      </c>
      <c r="AJ37" s="28">
        <f t="shared" ca="1" si="20"/>
        <v>25.109820454105975</v>
      </c>
      <c r="AK37" s="28">
        <f t="shared" ca="1" si="20"/>
        <v>30.850735515944436</v>
      </c>
      <c r="AL37" s="28">
        <f t="shared" ca="1" si="20"/>
        <v>22.414710801790438</v>
      </c>
      <c r="AM37" s="1"/>
      <c r="AN37" s="1"/>
    </row>
    <row r="38" spans="2:40" x14ac:dyDescent="0.25">
      <c r="B38" t="s">
        <v>136</v>
      </c>
      <c r="C38" s="37">
        <v>0.5</v>
      </c>
      <c r="D38" s="1">
        <f>+$C$38/12*(Folha1!C6+Folha1!C7)</f>
        <v>0</v>
      </c>
      <c r="E38" s="1">
        <f>+$C$38/12*(Folha1!D6+Folha1!D7)</f>
        <v>0</v>
      </c>
      <c r="F38" s="1">
        <f>+$C$38/12*(Folha1!E6+Folha1!E7)</f>
        <v>0</v>
      </c>
      <c r="G38" s="1">
        <f>+$C$38/12*(Folha1!F6+Folha1!F7)</f>
        <v>0</v>
      </c>
      <c r="H38" s="28">
        <f ca="1">+$C$38/12*(Folha1!G6+Folha1!G7)</f>
        <v>0.89234081685281397</v>
      </c>
      <c r="I38" s="28">
        <f ca="1">+$C$38/12*(Folha1!H6+Folha1!H7)</f>
        <v>0.87853520139635211</v>
      </c>
      <c r="J38" s="28">
        <f ca="1">+$C$38/12*(Folha1!I6+Folha1!I7)</f>
        <v>0.99263805730602428</v>
      </c>
      <c r="K38" s="28">
        <f ca="1">+$C$38/12*(Folha1!J6+Folha1!J7)</f>
        <v>1.0420087044752198</v>
      </c>
      <c r="L38" s="28">
        <f ca="1">+$C$38/12*(Folha1!K6+Folha1!K7)</f>
        <v>0.93593853696093166</v>
      </c>
      <c r="M38" s="28">
        <f ca="1">+$C$38/12*(Folha1!L6+Folha1!L7)</f>
        <v>1.1987847233263613</v>
      </c>
      <c r="N38" s="28">
        <f ca="1">+$C$38/12*(Folha1!M6+Folha1!M7)</f>
        <v>1.2334816886307229</v>
      </c>
      <c r="O38" s="28">
        <f ca="1">+$C$38/12*(Folha1!N6+Folha1!N7)</f>
        <v>1.2605192883316081</v>
      </c>
      <c r="P38" s="28">
        <f ca="1">+$C$38/12*(Folha1!O6+Folha1!O7)</f>
        <v>1.2343650946774725</v>
      </c>
      <c r="Q38" s="28">
        <f ca="1">+$C$38/12*(Folha1!P6+Folha1!P7)</f>
        <v>1.39310315254777</v>
      </c>
      <c r="R38" s="28">
        <f ca="1">+$C$38/12*(Folha1!Q6+Folha1!Q7)</f>
        <v>1.3453381690284705</v>
      </c>
      <c r="S38" s="28">
        <f ca="1">+$C$38/12*(Folha1!R6+Folha1!R7)</f>
        <v>1.2561414423915553</v>
      </c>
      <c r="T38" s="28">
        <f ca="1">+$C$38/12*(Folha1!S6+Folha1!S7)</f>
        <v>1.4643580089748165</v>
      </c>
      <c r="U38" s="28">
        <f ca="1">+$C$38/12*(Folha1!T6+Folha1!T7)</f>
        <v>1.4002778095360013</v>
      </c>
      <c r="V38" s="28">
        <f ca="1">+$C$38/12*(Folha1!U6+Folha1!U7)</f>
        <v>1.385033866507662</v>
      </c>
      <c r="W38" s="28">
        <f ca="1">+$C$38/12*(Folha1!V6+Folha1!V7)</f>
        <v>1.6386488108460011</v>
      </c>
      <c r="X38" s="28">
        <f ca="1">+$C$38/12*(Folha1!W6+Folha1!W7)</f>
        <v>1.5107049464654472</v>
      </c>
      <c r="Y38" s="28">
        <f ca="1">+$C$38/12*(Folha1!X6+Folha1!X7)</f>
        <v>1.6385706295650291</v>
      </c>
      <c r="Z38" s="28">
        <f ca="1">+$C$38/12*(Folha1!Y6+Folha1!Y7)</f>
        <v>1.7312155064246568</v>
      </c>
      <c r="AA38" s="28">
        <f ca="1">+$C$38/12*(Folha1!Z6+Folha1!Z7)</f>
        <v>1.8474557976291224</v>
      </c>
      <c r="AB38" s="28">
        <f ca="1">+$C$38/12*(Folha1!AA6+Folha1!AA7)</f>
        <v>1.7917523458120681</v>
      </c>
      <c r="AC38" s="28">
        <f ca="1">+$C$38/12*(Folha1!AB6+Folha1!AB7)</f>
        <v>1.6489578737609556</v>
      </c>
      <c r="AD38" s="28">
        <f ca="1">+$C$38/12*(Folha1!AC6+Folha1!AC7)</f>
        <v>1.7522194780415603</v>
      </c>
      <c r="AE38" s="28">
        <f ca="1">+$C$38/12*(Folha1!AD6+Folha1!AD7)</f>
        <v>1.6817463036720277</v>
      </c>
      <c r="AF38" s="28">
        <f ca="1">+$C$38/12*(Folha1!AE6+Folha1!AE7)</f>
        <v>1.9499851797606458</v>
      </c>
      <c r="AG38" s="28">
        <f ca="1">+$C$38/12*(Folha1!AF6+Folha1!AF7)</f>
        <v>1.9333749240909219</v>
      </c>
      <c r="AH38" s="28">
        <f ca="1">+$C$38/12*(Folha1!AG6+Folha1!AG7)</f>
        <v>1.6452789241659982</v>
      </c>
      <c r="AI38" s="28">
        <f ca="1">+$C$38/12*(Folha1!AH6+Folha1!AH7)</f>
        <v>1.8742766930483232</v>
      </c>
      <c r="AJ38" s="28">
        <f ca="1">+$C$38/12*(Folha1!AI6+Folha1!AI7)</f>
        <v>1.9691011468456905</v>
      </c>
      <c r="AK38" s="28">
        <f ca="1">+$C$38/12*(Folha1!AJ6+Folha1!AJ7)</f>
        <v>1.8020756513948106</v>
      </c>
      <c r="AL38" s="28">
        <f ca="1">+$C$38/12*(Folha1!AK6+Folha1!AK7)</f>
        <v>1.88273063751903</v>
      </c>
      <c r="AM38" s="1"/>
      <c r="AN38" s="1"/>
    </row>
    <row r="39" spans="2:40" x14ac:dyDescent="0.25">
      <c r="AM39" s="28"/>
      <c r="AN39" s="1"/>
    </row>
    <row r="40" spans="2:40" x14ac:dyDescent="0.25">
      <c r="B40" t="s">
        <v>134</v>
      </c>
      <c r="C40" s="38">
        <v>0.3</v>
      </c>
      <c r="D40" s="38">
        <v>0.3</v>
      </c>
      <c r="E40" s="38">
        <v>0.3</v>
      </c>
      <c r="F40" s="38">
        <v>0.3</v>
      </c>
      <c r="G40" s="38">
        <v>0.3</v>
      </c>
      <c r="H40" s="38">
        <v>0.3</v>
      </c>
      <c r="I40" s="38">
        <v>0.3</v>
      </c>
      <c r="J40" s="38">
        <v>0.3</v>
      </c>
      <c r="K40" s="38">
        <v>0.3</v>
      </c>
      <c r="L40" s="38">
        <v>0.3</v>
      </c>
      <c r="M40" s="38">
        <v>0.3</v>
      </c>
      <c r="N40" s="38">
        <v>0.3</v>
      </c>
      <c r="O40" s="38">
        <v>0.3</v>
      </c>
      <c r="P40" s="38">
        <v>0.3</v>
      </c>
      <c r="Q40" s="38">
        <v>0.3</v>
      </c>
      <c r="R40" s="38">
        <v>0.3</v>
      </c>
      <c r="S40" s="38">
        <v>0.3</v>
      </c>
      <c r="T40" s="38">
        <v>0.3</v>
      </c>
      <c r="U40" s="38">
        <v>0.3</v>
      </c>
      <c r="V40" s="38">
        <v>0.3</v>
      </c>
      <c r="W40" s="38">
        <v>0.3</v>
      </c>
      <c r="X40" s="38">
        <v>0.3</v>
      </c>
      <c r="Y40" s="38">
        <v>0.3</v>
      </c>
      <c r="Z40" s="38">
        <v>0.3</v>
      </c>
      <c r="AA40" s="38">
        <v>0.3</v>
      </c>
      <c r="AB40" s="38">
        <v>0.3</v>
      </c>
      <c r="AC40" s="38">
        <v>0.3</v>
      </c>
      <c r="AD40" s="38">
        <v>0.3</v>
      </c>
      <c r="AE40" s="38">
        <v>0.3</v>
      </c>
      <c r="AF40" s="38">
        <v>0.3</v>
      </c>
      <c r="AG40" s="38">
        <v>0.3</v>
      </c>
      <c r="AH40" s="38">
        <v>0.3</v>
      </c>
      <c r="AI40" s="38">
        <v>0.3</v>
      </c>
      <c r="AJ40" s="38">
        <v>0.3</v>
      </c>
      <c r="AK40" s="38">
        <v>0.3</v>
      </c>
      <c r="AL40" s="38">
        <v>0.3</v>
      </c>
      <c r="AM40" s="28"/>
      <c r="AN40" s="1"/>
    </row>
    <row r="41" spans="2:40" ht="15.75" thickBot="1" x14ac:dyDescent="0.3">
      <c r="AM41" s="28"/>
      <c r="AN41" s="1"/>
    </row>
    <row r="42" spans="2:40" x14ac:dyDescent="0.25">
      <c r="B42" s="60"/>
      <c r="C42" s="41"/>
      <c r="D42" s="41"/>
      <c r="E42" s="41"/>
      <c r="F42" s="81" t="s">
        <v>166</v>
      </c>
      <c r="G42" s="13"/>
      <c r="I42" s="9"/>
      <c r="J42" s="10"/>
      <c r="K42" s="10"/>
      <c r="L42" s="41"/>
      <c r="M42" s="41"/>
      <c r="N42" s="11"/>
      <c r="AM42" s="28"/>
      <c r="AN42" s="1"/>
    </row>
    <row r="43" spans="2:40" x14ac:dyDescent="0.25">
      <c r="B43" s="19"/>
      <c r="C43" s="13"/>
      <c r="D43" s="13"/>
      <c r="E43" s="13"/>
      <c r="F43" s="82" t="s">
        <v>174</v>
      </c>
      <c r="G43" s="13"/>
      <c r="I43" s="43"/>
      <c r="J43" s="44" t="s">
        <v>178</v>
      </c>
      <c r="K43" s="45"/>
      <c r="M43" s="42">
        <v>0.95</v>
      </c>
      <c r="N43" s="16"/>
      <c r="AM43" s="1"/>
      <c r="AN43" s="1"/>
    </row>
    <row r="44" spans="2:40" x14ac:dyDescent="0.25">
      <c r="B44" s="19"/>
      <c r="C44" s="13"/>
      <c r="D44" s="45" t="s">
        <v>94</v>
      </c>
      <c r="E44" s="45" t="s">
        <v>88</v>
      </c>
      <c r="F44" s="83">
        <v>0.9</v>
      </c>
      <c r="G44" s="13"/>
      <c r="I44" s="15"/>
      <c r="J44" s="14"/>
      <c r="K44" s="14"/>
      <c r="L44" s="13"/>
      <c r="M44" s="13"/>
      <c r="N44" s="16"/>
      <c r="AM44" s="1"/>
      <c r="AN44" s="1"/>
    </row>
    <row r="45" spans="2:40" x14ac:dyDescent="0.25">
      <c r="B45" s="43" t="s">
        <v>171</v>
      </c>
      <c r="C45" s="61">
        <v>0.1</v>
      </c>
      <c r="D45" s="62">
        <f ca="1">+Folha5!D4</f>
        <v>529.73323059990867</v>
      </c>
      <c r="E45" s="62">
        <f ca="1">+Folha5!K4</f>
        <v>709.98876890493284</v>
      </c>
      <c r="F45" s="84">
        <f ca="1">+Folha5!F4</f>
        <v>203.19914058323934</v>
      </c>
      <c r="G45" s="13"/>
      <c r="I45" s="59" t="s">
        <v>177</v>
      </c>
      <c r="K45" s="44" t="s">
        <v>163</v>
      </c>
      <c r="L45" s="13"/>
      <c r="M45" s="40" t="s">
        <v>143</v>
      </c>
      <c r="N45" s="16"/>
      <c r="AM45" s="1"/>
      <c r="AN45" s="1"/>
    </row>
    <row r="46" spans="2:40" x14ac:dyDescent="0.25">
      <c r="B46" s="43" t="s">
        <v>172</v>
      </c>
      <c r="C46" s="61">
        <v>0.13</v>
      </c>
      <c r="D46" s="62">
        <f ca="1">+Folha5!D5</f>
        <v>236.0760038551681</v>
      </c>
      <c r="E46" s="70">
        <f ca="1">+Folha5!L4</f>
        <v>338.58399057873618</v>
      </c>
      <c r="F46" s="84">
        <f ca="1">+Folha5!F5</f>
        <v>26.272055766080427</v>
      </c>
      <c r="G46" s="13"/>
      <c r="I46" s="17" t="s">
        <v>90</v>
      </c>
      <c r="J46" s="12" t="s">
        <v>91</v>
      </c>
      <c r="K46" s="12" t="s">
        <v>92</v>
      </c>
      <c r="L46" s="12" t="s">
        <v>91</v>
      </c>
      <c r="M46" s="12" t="s">
        <v>92</v>
      </c>
      <c r="N46" s="18" t="s">
        <v>91</v>
      </c>
      <c r="AM46" s="1"/>
      <c r="AN46" s="1"/>
    </row>
    <row r="47" spans="2:40" x14ac:dyDescent="0.25">
      <c r="B47" s="43" t="s">
        <v>173</v>
      </c>
      <c r="C47" s="45"/>
      <c r="D47" s="63">
        <f ca="1">+Folha5!D6</f>
        <v>0.18028672794867262</v>
      </c>
      <c r="E47" s="63">
        <f ca="1">+Folha5!E6</f>
        <v>0.19077601296295085</v>
      </c>
      <c r="F47" s="85">
        <f ca="1">+Folha5!F6</f>
        <v>0.14188369716913546</v>
      </c>
      <c r="G47" s="13"/>
      <c r="I47" s="19"/>
      <c r="J47" s="13"/>
      <c r="K47" s="13"/>
      <c r="L47" s="13"/>
      <c r="M47" s="13"/>
      <c r="N47" s="16"/>
      <c r="AM47" s="1"/>
      <c r="AN47" s="1"/>
    </row>
    <row r="48" spans="2:40" x14ac:dyDescent="0.25">
      <c r="B48" s="64" t="s">
        <v>176</v>
      </c>
      <c r="C48" s="44"/>
      <c r="D48" s="86">
        <f ca="1">+Folha5!D7</f>
        <v>11</v>
      </c>
      <c r="E48" s="74">
        <f ca="1">+Folha5!E7</f>
        <v>11.396039603960396</v>
      </c>
      <c r="F48" s="85"/>
      <c r="G48" s="13"/>
      <c r="I48" s="20">
        <f ca="1">+Folha5!C16</f>
        <v>631.52289999728896</v>
      </c>
      <c r="J48" s="21">
        <f ca="1">+Folha5!D16</f>
        <v>788.45463781257672</v>
      </c>
      <c r="K48" s="21">
        <f ca="1">+Folha5!E16</f>
        <v>290.22896126123214</v>
      </c>
      <c r="L48" s="21">
        <f ca="1">+Folha5!F16</f>
        <v>386.93901989624021</v>
      </c>
      <c r="M48" s="22">
        <f ca="1">+Folha5!G16</f>
        <v>0.18320605133138915</v>
      </c>
      <c r="N48" s="23">
        <f ca="1">+Folha5!H16</f>
        <v>0.19834597459451256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2:40" ht="15.75" thickBot="1" x14ac:dyDescent="0.3">
      <c r="B49" s="24"/>
      <c r="C49" s="66"/>
      <c r="D49" s="67"/>
      <c r="E49" s="25"/>
      <c r="F49" s="26"/>
      <c r="G49" s="13"/>
      <c r="I49" s="24"/>
      <c r="J49" s="25"/>
      <c r="K49" s="25"/>
      <c r="L49" s="25"/>
      <c r="M49" s="25"/>
      <c r="N49" s="2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2:40" x14ac:dyDescent="0.25">
      <c r="B50" s="13"/>
      <c r="C50" s="13"/>
      <c r="D50" s="13"/>
      <c r="E50" s="13"/>
      <c r="F50" s="13"/>
      <c r="G50" s="13"/>
      <c r="J50" s="1"/>
      <c r="K50" s="28"/>
      <c r="L50" s="28"/>
      <c r="M50" s="5"/>
      <c r="N50" s="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2:40" x14ac:dyDescent="0.25">
      <c r="J51" s="1"/>
      <c r="K51" s="28"/>
      <c r="L51" s="28"/>
      <c r="M51" s="5"/>
      <c r="N51" s="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2:40" x14ac:dyDescent="0.25">
      <c r="J52" s="1"/>
      <c r="K52" s="28"/>
      <c r="L52" s="28"/>
      <c r="M52" s="5"/>
      <c r="N52" s="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2:40" x14ac:dyDescent="0.25">
      <c r="J53" s="1"/>
      <c r="K53" s="28"/>
      <c r="L53" s="28"/>
      <c r="M53" s="5"/>
      <c r="N53" s="5"/>
      <c r="AB53" s="1"/>
      <c r="AC53" s="1"/>
      <c r="AD53" s="1"/>
      <c r="AE53" s="1"/>
    </row>
    <row r="54" spans="2:40" x14ac:dyDescent="0.25">
      <c r="J54" s="1"/>
      <c r="K54" s="28"/>
      <c r="L54" s="28"/>
      <c r="M54" s="5"/>
      <c r="N54" s="5"/>
      <c r="AB54" s="1"/>
      <c r="AC54" s="1"/>
      <c r="AD54" s="1"/>
      <c r="AE54" s="1"/>
    </row>
    <row r="55" spans="2:40" x14ac:dyDescent="0.25">
      <c r="J55" s="1"/>
      <c r="K55" s="28"/>
      <c r="L55" s="28"/>
      <c r="M55" s="5"/>
      <c r="N55" s="5"/>
      <c r="AB55" s="1"/>
      <c r="AC55" s="1"/>
      <c r="AD55" s="1"/>
      <c r="AE55" s="1"/>
    </row>
    <row r="56" spans="2:40" x14ac:dyDescent="0.25">
      <c r="J56" s="1"/>
      <c r="K56" s="28"/>
      <c r="L56" s="28"/>
      <c r="M56" s="5"/>
      <c r="N56" s="5"/>
      <c r="AB56" s="1"/>
      <c r="AC56" s="1"/>
      <c r="AD56" s="1"/>
      <c r="AE56" s="1"/>
    </row>
    <row r="57" spans="2:40" x14ac:dyDescent="0.25">
      <c r="J57" s="1"/>
      <c r="K57" s="28"/>
      <c r="L57" s="28"/>
      <c r="M57" s="5"/>
      <c r="N57" s="5"/>
      <c r="AB57" s="1"/>
      <c r="AC57" s="1"/>
      <c r="AD57" s="1"/>
      <c r="AE57" s="1"/>
    </row>
    <row r="58" spans="2:40" x14ac:dyDescent="0.25">
      <c r="D58" s="36"/>
      <c r="J58" s="1"/>
      <c r="K58" s="28"/>
      <c r="L58" s="28"/>
      <c r="M58" s="5"/>
      <c r="N58" s="5"/>
      <c r="AB58" s="1"/>
      <c r="AC58" s="1"/>
      <c r="AD58" s="1"/>
      <c r="AE58" s="1"/>
    </row>
    <row r="59" spans="2:40" x14ac:dyDescent="0.25">
      <c r="C59" s="8"/>
      <c r="D59" s="54"/>
      <c r="J59" s="1"/>
      <c r="K59" s="28"/>
      <c r="L59" s="28"/>
      <c r="M59" s="5"/>
      <c r="N59" s="5"/>
      <c r="AB59" s="1"/>
      <c r="AC59" s="1"/>
      <c r="AD59" s="1"/>
      <c r="AE59" s="1"/>
    </row>
    <row r="60" spans="2:40" x14ac:dyDescent="0.25">
      <c r="D60" s="36"/>
      <c r="J60" s="1"/>
      <c r="K60" s="28"/>
      <c r="L60" s="28"/>
      <c r="M60" s="5"/>
      <c r="N60" s="5"/>
      <c r="AB60" s="1"/>
      <c r="AC60" s="1"/>
      <c r="AD60" s="1"/>
      <c r="AE60" s="1"/>
    </row>
    <row r="61" spans="2:40" x14ac:dyDescent="0.25">
      <c r="D61" s="36"/>
      <c r="J61" s="1"/>
      <c r="K61" s="28"/>
      <c r="L61" s="28"/>
      <c r="M61" s="5"/>
      <c r="N61" s="5"/>
      <c r="AB61" s="1"/>
      <c r="AC61" s="1"/>
      <c r="AD61" s="1"/>
      <c r="AE61" s="1"/>
    </row>
    <row r="62" spans="2:40" x14ac:dyDescent="0.25">
      <c r="J62" s="1"/>
      <c r="K62" s="28"/>
      <c r="L62" s="28"/>
      <c r="M62" s="5"/>
      <c r="N62" s="5"/>
      <c r="AB62" s="1"/>
      <c r="AC62" s="1"/>
      <c r="AD62" s="1"/>
      <c r="AE62" s="1"/>
    </row>
    <row r="63" spans="2:40" x14ac:dyDescent="0.25">
      <c r="C63" s="58"/>
      <c r="D63" s="58"/>
      <c r="E63" s="58"/>
      <c r="F63" s="5"/>
      <c r="G63" s="56"/>
      <c r="H63" s="58"/>
      <c r="I63" s="58"/>
      <c r="J63" s="1"/>
      <c r="K63" s="28"/>
      <c r="L63" s="28"/>
      <c r="M63" s="5"/>
      <c r="N63" s="5"/>
      <c r="AB63" s="1"/>
      <c r="AC63" s="1"/>
      <c r="AD63" s="1"/>
      <c r="AE63" s="1"/>
    </row>
    <row r="64" spans="2:40" x14ac:dyDescent="0.25">
      <c r="C64" s="58"/>
      <c r="D64" s="58"/>
      <c r="E64" s="58"/>
      <c r="F64" s="5"/>
      <c r="G64" s="5"/>
      <c r="H64" s="58"/>
      <c r="I64" s="58"/>
      <c r="J64" s="1"/>
      <c r="K64" s="28"/>
      <c r="L64" s="28"/>
      <c r="M64" s="5"/>
      <c r="N64" s="5"/>
      <c r="AB64" s="1"/>
      <c r="AC64" s="1"/>
      <c r="AD64" s="1"/>
      <c r="AE64" s="1"/>
    </row>
    <row r="65" spans="3:31" x14ac:dyDescent="0.25">
      <c r="C65" s="58"/>
      <c r="D65" s="58"/>
      <c r="E65" s="58"/>
      <c r="F65" s="5"/>
      <c r="G65" s="5"/>
      <c r="H65" s="58"/>
      <c r="I65" s="58"/>
      <c r="J65" s="1"/>
      <c r="K65" s="28"/>
      <c r="L65" s="28"/>
      <c r="M65" s="5"/>
      <c r="N65" s="5"/>
      <c r="AB65" s="1"/>
      <c r="AC65" s="1"/>
      <c r="AD65" s="1"/>
      <c r="AE65" s="1"/>
    </row>
    <row r="66" spans="3:31" x14ac:dyDescent="0.25">
      <c r="C66" s="58"/>
      <c r="D66" s="58"/>
      <c r="E66" s="58"/>
      <c r="F66" s="5"/>
      <c r="G66" s="5"/>
      <c r="H66" s="58"/>
      <c r="I66" s="58"/>
      <c r="J66" s="1"/>
      <c r="K66" s="28"/>
      <c r="L66" s="28"/>
      <c r="M66" s="5"/>
      <c r="N66" s="5"/>
      <c r="AB66" s="1"/>
      <c r="AC66" s="1"/>
      <c r="AD66" s="1"/>
      <c r="AE66" s="1"/>
    </row>
    <row r="67" spans="3:31" x14ac:dyDescent="0.25">
      <c r="C67" s="58"/>
      <c r="D67" s="58"/>
      <c r="E67" s="58"/>
      <c r="F67" s="5"/>
      <c r="G67" s="5"/>
      <c r="H67" s="58"/>
      <c r="I67" s="58"/>
      <c r="J67" s="1"/>
      <c r="K67" s="28"/>
      <c r="L67" s="28"/>
      <c r="M67" s="5"/>
      <c r="N67" s="5"/>
      <c r="AB67" s="1"/>
      <c r="AC67" s="1"/>
      <c r="AD67" s="1"/>
      <c r="AE67" s="1"/>
    </row>
    <row r="68" spans="3:31" x14ac:dyDescent="0.25">
      <c r="C68" s="58"/>
      <c r="D68" s="58"/>
      <c r="E68" s="58"/>
      <c r="F68" s="5"/>
      <c r="G68" s="5"/>
      <c r="H68" s="58"/>
      <c r="I68" s="58"/>
      <c r="J68" s="1"/>
      <c r="K68" s="28"/>
      <c r="L68" s="28"/>
      <c r="M68" s="5"/>
      <c r="N68" s="5"/>
      <c r="AB68" s="1"/>
      <c r="AC68" s="1"/>
      <c r="AD68" s="1"/>
      <c r="AE68" s="1"/>
    </row>
    <row r="69" spans="3:31" x14ac:dyDescent="0.25">
      <c r="C69" s="58"/>
      <c r="D69" s="58"/>
      <c r="E69" s="58"/>
      <c r="F69" s="5"/>
      <c r="G69" s="5"/>
      <c r="H69" s="58"/>
      <c r="I69" s="58"/>
      <c r="J69" s="1"/>
      <c r="K69" s="28"/>
      <c r="L69" s="28"/>
      <c r="M69" s="5"/>
      <c r="N69" s="5"/>
      <c r="AB69" s="1"/>
      <c r="AC69" s="1"/>
      <c r="AD69" s="1"/>
      <c r="AE69" s="1"/>
    </row>
    <row r="70" spans="3:31" x14ac:dyDescent="0.25">
      <c r="C70" s="58"/>
      <c r="D70" s="58"/>
      <c r="E70" s="58"/>
      <c r="F70" s="5"/>
      <c r="G70" s="5"/>
      <c r="H70" s="58"/>
      <c r="I70" s="58"/>
      <c r="J70" s="1"/>
      <c r="K70" s="28"/>
      <c r="L70" s="28"/>
      <c r="M70" s="5"/>
      <c r="N70" s="5"/>
      <c r="AB70" s="1"/>
      <c r="AC70" s="1"/>
      <c r="AD70" s="1"/>
      <c r="AE70" s="1"/>
    </row>
    <row r="71" spans="3:31" x14ac:dyDescent="0.25">
      <c r="C71" s="58"/>
      <c r="D71" s="58"/>
      <c r="E71" s="58"/>
      <c r="F71" s="5"/>
      <c r="G71" s="5"/>
      <c r="H71" s="58"/>
      <c r="I71" s="58"/>
      <c r="J71" s="1"/>
      <c r="K71" s="28"/>
      <c r="L71" s="28"/>
      <c r="M71" s="5"/>
      <c r="N71" s="5"/>
      <c r="AB71" s="1"/>
      <c r="AC71" s="1"/>
      <c r="AD71" s="1"/>
      <c r="AE71" s="1"/>
    </row>
    <row r="72" spans="3:31" x14ac:dyDescent="0.25">
      <c r="C72" s="58"/>
      <c r="D72" s="58"/>
      <c r="E72" s="58"/>
      <c r="F72" s="5"/>
      <c r="G72" s="5"/>
      <c r="H72" s="58"/>
      <c r="I72" s="58"/>
      <c r="J72" s="1"/>
      <c r="K72" s="28"/>
      <c r="L72" s="28"/>
      <c r="M72" s="5"/>
      <c r="N72" s="5"/>
      <c r="AB72" s="1"/>
      <c r="AC72" s="1"/>
      <c r="AD72" s="1"/>
      <c r="AE72" s="1"/>
    </row>
    <row r="73" spans="3:31" x14ac:dyDescent="0.25">
      <c r="C73" s="58"/>
      <c r="D73" s="58"/>
      <c r="E73" s="58"/>
      <c r="F73" s="5"/>
      <c r="G73" s="5"/>
      <c r="H73" s="58"/>
      <c r="I73" s="58"/>
      <c r="J73" s="1"/>
      <c r="K73" s="28"/>
      <c r="L73" s="28"/>
      <c r="M73" s="5"/>
      <c r="N73" s="5"/>
      <c r="AB73" s="1"/>
      <c r="AC73" s="1"/>
      <c r="AD73" s="1"/>
      <c r="AE73" s="1"/>
    </row>
    <row r="74" spans="3:31" x14ac:dyDescent="0.25">
      <c r="C74" s="58"/>
      <c r="D74" s="58"/>
      <c r="E74" s="58"/>
      <c r="F74" s="5"/>
      <c r="G74" s="5"/>
      <c r="H74" s="58"/>
      <c r="I74" s="58"/>
      <c r="J74" s="1"/>
      <c r="K74" s="28"/>
      <c r="L74" s="28"/>
      <c r="M74" s="5"/>
      <c r="N74" s="5"/>
      <c r="AB74" s="1"/>
      <c r="AC74" s="1"/>
      <c r="AD74" s="1"/>
      <c r="AE74" s="1"/>
    </row>
    <row r="75" spans="3:31" x14ac:dyDescent="0.25">
      <c r="C75" s="58"/>
      <c r="D75" s="58"/>
      <c r="E75" s="58"/>
      <c r="F75" s="5"/>
      <c r="G75" s="5"/>
      <c r="H75" s="58"/>
      <c r="I75" s="58"/>
      <c r="J75" s="1"/>
      <c r="K75" s="28"/>
      <c r="L75" s="28"/>
      <c r="M75" s="5"/>
      <c r="N75" s="5"/>
      <c r="AB75" s="1"/>
      <c r="AC75" s="1"/>
      <c r="AD75" s="1"/>
      <c r="AE75" s="1"/>
    </row>
    <row r="76" spans="3:31" x14ac:dyDescent="0.25">
      <c r="C76" s="58"/>
      <c r="D76" s="58"/>
      <c r="E76" s="58"/>
      <c r="F76" s="5"/>
      <c r="G76" s="5"/>
      <c r="H76" s="58"/>
      <c r="I76" s="58"/>
      <c r="J76" s="1"/>
      <c r="K76" s="28"/>
      <c r="L76" s="28"/>
      <c r="M76" s="5"/>
      <c r="N76" s="5"/>
      <c r="AB76" s="1"/>
      <c r="AC76" s="1"/>
      <c r="AD76" s="1"/>
      <c r="AE76" s="1"/>
    </row>
    <row r="77" spans="3:31" x14ac:dyDescent="0.25">
      <c r="C77" s="58"/>
      <c r="D77" s="58"/>
      <c r="E77" s="58"/>
      <c r="F77" s="5"/>
      <c r="G77" s="5"/>
      <c r="H77" s="58"/>
      <c r="I77" s="58"/>
      <c r="J77" s="1"/>
      <c r="K77" s="28"/>
      <c r="L77" s="28"/>
      <c r="M77" s="5"/>
      <c r="N77" s="5"/>
    </row>
    <row r="78" spans="3:31" x14ac:dyDescent="0.25">
      <c r="C78" s="58"/>
      <c r="D78" s="58"/>
      <c r="E78" s="58"/>
      <c r="F78" s="5"/>
      <c r="G78" s="5"/>
      <c r="H78" s="58"/>
      <c r="I78" s="58"/>
      <c r="J78" s="1"/>
      <c r="K78" s="28"/>
      <c r="L78" s="28"/>
      <c r="M78" s="5"/>
      <c r="N78" s="5"/>
    </row>
    <row r="79" spans="3:31" x14ac:dyDescent="0.25">
      <c r="C79" s="8"/>
      <c r="D79" s="55"/>
      <c r="J79" s="1"/>
      <c r="K79" s="28"/>
      <c r="L79" s="28"/>
      <c r="M79" s="5"/>
      <c r="N79" s="5"/>
    </row>
    <row r="80" spans="3:31" x14ac:dyDescent="0.25">
      <c r="C80" s="8"/>
      <c r="D80" s="55"/>
      <c r="J80" s="1"/>
      <c r="K80" s="28"/>
      <c r="L80" s="28"/>
      <c r="M80" s="5"/>
      <c r="N80" s="5"/>
    </row>
    <row r="81" spans="3:14" x14ac:dyDescent="0.25">
      <c r="C81" s="8"/>
      <c r="D81" s="55"/>
      <c r="J81" s="1"/>
      <c r="K81" s="28"/>
      <c r="L81" s="28"/>
      <c r="M81" s="5"/>
      <c r="N81" s="5"/>
    </row>
    <row r="82" spans="3:14" x14ac:dyDescent="0.25">
      <c r="C82" s="8"/>
      <c r="D82" s="55"/>
      <c r="J82" s="1"/>
      <c r="K82" s="28"/>
      <c r="L82" s="28"/>
      <c r="M82" s="5"/>
      <c r="N82" s="5"/>
    </row>
    <row r="83" spans="3:14" x14ac:dyDescent="0.25">
      <c r="C83" s="8"/>
      <c r="D83" s="55"/>
      <c r="J83" s="1"/>
      <c r="K83" s="28"/>
      <c r="L83" s="28"/>
      <c r="M83" s="5"/>
      <c r="N83" s="5"/>
    </row>
    <row r="84" spans="3:14" x14ac:dyDescent="0.25">
      <c r="C84" s="8"/>
      <c r="D84" s="55"/>
      <c r="J84" s="1"/>
      <c r="K84" s="28"/>
      <c r="L84" s="28"/>
      <c r="M84" s="5"/>
      <c r="N84" s="5"/>
    </row>
    <row r="85" spans="3:14" x14ac:dyDescent="0.25">
      <c r="C85" s="8"/>
      <c r="D85" s="55"/>
      <c r="J85" s="1"/>
      <c r="K85" s="28"/>
      <c r="L85" s="28"/>
      <c r="M85" s="5"/>
      <c r="N85" s="5"/>
    </row>
    <row r="86" spans="3:14" x14ac:dyDescent="0.25">
      <c r="C86" s="8"/>
      <c r="D86" s="55"/>
      <c r="J86" s="1"/>
      <c r="K86" s="28"/>
      <c r="L86" s="28"/>
      <c r="M86" s="5"/>
      <c r="N86" s="5"/>
    </row>
    <row r="87" spans="3:14" x14ac:dyDescent="0.25">
      <c r="C87" s="8"/>
      <c r="D87" s="55"/>
      <c r="J87" s="1"/>
      <c r="K87" s="28"/>
      <c r="L87" s="28"/>
      <c r="M87" s="5"/>
      <c r="N87" s="5"/>
    </row>
    <row r="88" spans="3:14" x14ac:dyDescent="0.25">
      <c r="C88" s="8"/>
      <c r="D88" s="55"/>
      <c r="J88" s="1"/>
      <c r="K88" s="28"/>
      <c r="L88" s="28"/>
      <c r="M88" s="5"/>
      <c r="N88" s="5"/>
    </row>
    <row r="89" spans="3:14" x14ac:dyDescent="0.25">
      <c r="C89" s="8"/>
      <c r="D89" s="55"/>
      <c r="J89" s="1"/>
      <c r="K89" s="28"/>
      <c r="L89" s="28"/>
      <c r="M89" s="5"/>
      <c r="N89" s="5"/>
    </row>
    <row r="90" spans="3:14" x14ac:dyDescent="0.25">
      <c r="C90" s="8"/>
      <c r="D90" s="55"/>
      <c r="J90" s="1"/>
      <c r="K90" s="28"/>
      <c r="L90" s="28"/>
      <c r="M90" s="5"/>
      <c r="N90" s="5"/>
    </row>
    <row r="91" spans="3:14" x14ac:dyDescent="0.25">
      <c r="D91" s="55"/>
      <c r="J91" s="1"/>
      <c r="K91" s="28"/>
      <c r="L91" s="28"/>
      <c r="M91" s="5"/>
      <c r="N91" s="5"/>
    </row>
    <row r="92" spans="3:14" x14ac:dyDescent="0.25">
      <c r="D92" s="55"/>
      <c r="J92" s="1"/>
      <c r="K92" s="28"/>
      <c r="L92" s="28"/>
      <c r="M92" s="5"/>
      <c r="N92" s="5"/>
    </row>
    <row r="93" spans="3:14" x14ac:dyDescent="0.25">
      <c r="D93" s="55"/>
      <c r="J93" s="1"/>
      <c r="K93" s="28"/>
      <c r="L93" s="28"/>
      <c r="M93" s="5"/>
      <c r="N93" s="5"/>
    </row>
    <row r="94" spans="3:14" x14ac:dyDescent="0.25">
      <c r="D94" s="55"/>
      <c r="J94" s="1"/>
      <c r="K94" s="28"/>
      <c r="L94" s="28"/>
      <c r="M94" s="5"/>
      <c r="N94" s="5"/>
    </row>
    <row r="95" spans="3:14" x14ac:dyDescent="0.25">
      <c r="D95" s="55"/>
      <c r="J95" s="1"/>
      <c r="K95" s="28"/>
      <c r="L95" s="28"/>
      <c r="M95" s="5"/>
      <c r="N95" s="5"/>
    </row>
    <row r="96" spans="3:14" x14ac:dyDescent="0.25">
      <c r="D96" s="55"/>
      <c r="J96" s="1"/>
      <c r="K96" s="28"/>
      <c r="L96" s="28"/>
      <c r="M96" s="5"/>
      <c r="N96" s="5"/>
    </row>
    <row r="97" spans="4:14" x14ac:dyDescent="0.25">
      <c r="D97" s="55"/>
      <c r="J97" s="1"/>
      <c r="K97" s="28"/>
      <c r="L97" s="28"/>
      <c r="M97" s="5"/>
      <c r="N97" s="5"/>
    </row>
    <row r="98" spans="4:14" x14ac:dyDescent="0.25">
      <c r="D98" s="55"/>
      <c r="J98" s="1"/>
      <c r="K98" s="28"/>
      <c r="L98" s="28"/>
      <c r="M98" s="5"/>
      <c r="N98" s="5"/>
    </row>
    <row r="99" spans="4:14" x14ac:dyDescent="0.25">
      <c r="D99" s="55"/>
      <c r="J99" s="1"/>
      <c r="K99" s="28"/>
      <c r="L99" s="28"/>
      <c r="M99" s="5"/>
      <c r="N99" s="5"/>
    </row>
    <row r="100" spans="4:14" x14ac:dyDescent="0.25">
      <c r="D100" s="55"/>
      <c r="J100" s="1"/>
      <c r="K100" s="28"/>
      <c r="L100" s="28"/>
      <c r="M100" s="5"/>
      <c r="N100" s="5"/>
    </row>
    <row r="101" spans="4:14" x14ac:dyDescent="0.25">
      <c r="D101" s="55"/>
      <c r="J101" s="1"/>
      <c r="K101" s="28"/>
      <c r="L101" s="28"/>
      <c r="M101" s="5"/>
      <c r="N101" s="5"/>
    </row>
    <row r="102" spans="4:14" x14ac:dyDescent="0.25">
      <c r="D102" s="55"/>
      <c r="J102" s="1"/>
      <c r="K102" s="28"/>
      <c r="L102" s="28"/>
      <c r="M102" s="5"/>
      <c r="N102" s="5"/>
    </row>
    <row r="103" spans="4:14" x14ac:dyDescent="0.25">
      <c r="D103" s="55"/>
      <c r="J103" s="1"/>
      <c r="K103" s="28"/>
      <c r="L103" s="28"/>
      <c r="M103" s="5"/>
      <c r="N103" s="5"/>
    </row>
    <row r="104" spans="4:14" x14ac:dyDescent="0.25">
      <c r="D104" s="55"/>
      <c r="J104" s="1"/>
      <c r="K104" s="28"/>
      <c r="L104" s="28"/>
      <c r="M104" s="5"/>
      <c r="N104" s="5"/>
    </row>
    <row r="105" spans="4:14" x14ac:dyDescent="0.25">
      <c r="D105" s="55"/>
      <c r="J105" s="1"/>
      <c r="K105" s="28"/>
      <c r="L105" s="28"/>
      <c r="M105" s="5"/>
      <c r="N105" s="5"/>
    </row>
    <row r="106" spans="4:14" x14ac:dyDescent="0.25">
      <c r="D106" s="55"/>
      <c r="J106" s="1"/>
      <c r="K106" s="28"/>
      <c r="L106" s="28"/>
      <c r="M106" s="5"/>
      <c r="N106" s="5"/>
    </row>
    <row r="107" spans="4:14" x14ac:dyDescent="0.25">
      <c r="D107" s="55"/>
      <c r="J107" s="1"/>
      <c r="K107" s="28"/>
      <c r="L107" s="28"/>
      <c r="M107" s="5"/>
      <c r="N107" s="5"/>
    </row>
    <row r="108" spans="4:14" x14ac:dyDescent="0.25">
      <c r="D108" s="55"/>
      <c r="J108" s="1"/>
      <c r="K108" s="28"/>
      <c r="L108" s="28"/>
      <c r="M108" s="5"/>
      <c r="N108" s="5"/>
    </row>
    <row r="109" spans="4:14" x14ac:dyDescent="0.25">
      <c r="D109" s="55"/>
      <c r="J109" s="1"/>
      <c r="K109" s="28"/>
      <c r="L109" s="28"/>
      <c r="M109" s="5"/>
      <c r="N109" s="5"/>
    </row>
    <row r="110" spans="4:14" x14ac:dyDescent="0.25">
      <c r="D110" s="55"/>
      <c r="J110" s="1"/>
      <c r="K110" s="28"/>
      <c r="L110" s="28"/>
      <c r="M110" s="5"/>
      <c r="N110" s="5"/>
    </row>
    <row r="111" spans="4:14" x14ac:dyDescent="0.25">
      <c r="D111" s="55"/>
      <c r="J111" s="1"/>
      <c r="K111" s="28"/>
      <c r="L111" s="28"/>
      <c r="M111" s="5"/>
      <c r="N111" s="5"/>
    </row>
    <row r="112" spans="4:14" x14ac:dyDescent="0.25">
      <c r="D112" s="55"/>
      <c r="J112" s="1"/>
      <c r="K112" s="28"/>
      <c r="L112" s="28"/>
      <c r="M112" s="5"/>
      <c r="N112" s="5"/>
    </row>
    <row r="113" spans="4:14" x14ac:dyDescent="0.25">
      <c r="D113" s="55"/>
      <c r="J113" s="1"/>
      <c r="K113" s="28"/>
      <c r="L113" s="28"/>
      <c r="M113" s="5"/>
      <c r="N113" s="5"/>
    </row>
    <row r="114" spans="4:14" x14ac:dyDescent="0.25">
      <c r="D114" s="55"/>
      <c r="J114" s="1"/>
      <c r="K114" s="28"/>
      <c r="L114" s="28"/>
      <c r="M114" s="5"/>
      <c r="N114" s="5"/>
    </row>
    <row r="115" spans="4:14" x14ac:dyDescent="0.25">
      <c r="D115" s="55"/>
      <c r="J115" s="1"/>
      <c r="K115" s="28"/>
      <c r="L115" s="28"/>
      <c r="M115" s="5"/>
      <c r="N115" s="5"/>
    </row>
    <row r="116" spans="4:14" x14ac:dyDescent="0.25">
      <c r="D116" s="55"/>
      <c r="J116" s="1"/>
      <c r="K116" s="28"/>
      <c r="L116" s="28"/>
      <c r="M116" s="5"/>
      <c r="N116" s="5"/>
    </row>
    <row r="117" spans="4:14" x14ac:dyDescent="0.25">
      <c r="D117" s="55"/>
      <c r="J117" s="1"/>
      <c r="K117" s="28"/>
      <c r="L117" s="28"/>
      <c r="M117" s="5"/>
      <c r="N117" s="5"/>
    </row>
    <row r="118" spans="4:14" x14ac:dyDescent="0.25">
      <c r="D118" s="55"/>
      <c r="J118" s="1"/>
      <c r="K118" s="28"/>
      <c r="L118" s="28"/>
      <c r="M118" s="5"/>
      <c r="N118" s="5"/>
    </row>
    <row r="119" spans="4:14" x14ac:dyDescent="0.25">
      <c r="D119" s="55"/>
      <c r="J119" s="1"/>
      <c r="K119" s="28"/>
      <c r="L119" s="28"/>
      <c r="M119" s="5"/>
      <c r="N119" s="5"/>
    </row>
    <row r="120" spans="4:14" x14ac:dyDescent="0.25">
      <c r="D120" s="55"/>
      <c r="J120" s="1"/>
      <c r="K120" s="28"/>
      <c r="L120" s="28"/>
      <c r="M120" s="5"/>
      <c r="N120" s="5"/>
    </row>
    <row r="121" spans="4:14" x14ac:dyDescent="0.25">
      <c r="D121" s="55"/>
      <c r="J121" s="1"/>
      <c r="K121" s="28"/>
      <c r="L121" s="28"/>
      <c r="M121" s="5"/>
      <c r="N121" s="5"/>
    </row>
    <row r="122" spans="4:14" x14ac:dyDescent="0.25">
      <c r="D122" s="55"/>
      <c r="J122" s="1"/>
      <c r="K122" s="28"/>
      <c r="L122" s="28"/>
      <c r="M122" s="5"/>
      <c r="N122" s="5"/>
    </row>
    <row r="123" spans="4:14" x14ac:dyDescent="0.25">
      <c r="D123" s="55"/>
      <c r="J123" s="1"/>
      <c r="K123" s="28"/>
      <c r="L123" s="28"/>
      <c r="M123" s="5"/>
      <c r="N123" s="5"/>
    </row>
    <row r="124" spans="4:14" x14ac:dyDescent="0.25">
      <c r="D124" s="55"/>
      <c r="J124" s="1"/>
      <c r="K124" s="28"/>
      <c r="L124" s="28"/>
      <c r="M124" s="5"/>
      <c r="N124" s="5"/>
    </row>
    <row r="125" spans="4:14" x14ac:dyDescent="0.25">
      <c r="D125" s="55"/>
      <c r="J125" s="1"/>
      <c r="K125" s="28"/>
      <c r="L125" s="28"/>
      <c r="M125" s="5"/>
      <c r="N125" s="5"/>
    </row>
    <row r="126" spans="4:14" x14ac:dyDescent="0.25">
      <c r="D126" s="55"/>
      <c r="J126" s="1"/>
      <c r="K126" s="28"/>
      <c r="L126" s="28"/>
      <c r="M126" s="5"/>
      <c r="N126" s="5"/>
    </row>
    <row r="127" spans="4:14" x14ac:dyDescent="0.25">
      <c r="D127" s="55"/>
      <c r="J127" s="1"/>
      <c r="K127" s="28"/>
      <c r="L127" s="28"/>
      <c r="M127" s="5"/>
      <c r="N127" s="5"/>
    </row>
    <row r="128" spans="4:14" x14ac:dyDescent="0.25">
      <c r="D128" s="55"/>
      <c r="J128" s="1"/>
      <c r="K128" s="28"/>
      <c r="L128" s="28"/>
      <c r="M128" s="5"/>
      <c r="N128" s="5"/>
    </row>
    <row r="129" spans="4:14" x14ac:dyDescent="0.25">
      <c r="D129" s="55"/>
      <c r="J129" s="1"/>
      <c r="K129" s="28"/>
      <c r="L129" s="28"/>
      <c r="M129" s="5"/>
      <c r="N129" s="5"/>
    </row>
    <row r="130" spans="4:14" x14ac:dyDescent="0.25">
      <c r="D130" s="55"/>
      <c r="J130" s="1"/>
      <c r="K130" s="28"/>
      <c r="L130" s="28"/>
      <c r="M130" s="5"/>
      <c r="N130" s="5"/>
    </row>
    <row r="131" spans="4:14" x14ac:dyDescent="0.25">
      <c r="D131" s="55"/>
      <c r="J131" s="1"/>
      <c r="K131" s="28"/>
      <c r="L131" s="28"/>
      <c r="M131" s="5"/>
      <c r="N131" s="5"/>
    </row>
    <row r="132" spans="4:14" x14ac:dyDescent="0.25">
      <c r="D132" s="55"/>
      <c r="J132" s="1"/>
      <c r="K132" s="28"/>
      <c r="L132" s="28"/>
      <c r="M132" s="5"/>
      <c r="N132" s="5"/>
    </row>
    <row r="133" spans="4:14" x14ac:dyDescent="0.25">
      <c r="D133" s="55"/>
      <c r="J133" s="1"/>
      <c r="K133" s="28"/>
      <c r="L133" s="28"/>
      <c r="M133" s="5"/>
      <c r="N133" s="5"/>
    </row>
    <row r="134" spans="4:14" x14ac:dyDescent="0.25">
      <c r="D134" s="55"/>
      <c r="J134" s="1"/>
      <c r="K134" s="28"/>
      <c r="L134" s="28"/>
      <c r="M134" s="5"/>
      <c r="N134" s="5"/>
    </row>
    <row r="135" spans="4:14" x14ac:dyDescent="0.25">
      <c r="D135" s="55"/>
      <c r="J135" s="1"/>
      <c r="K135" s="28"/>
      <c r="L135" s="28"/>
      <c r="M135" s="5"/>
      <c r="N135" s="5"/>
    </row>
    <row r="136" spans="4:14" x14ac:dyDescent="0.25">
      <c r="J136" s="1"/>
      <c r="K136" s="28"/>
      <c r="L136" s="28"/>
      <c r="M136" s="5"/>
      <c r="N136" s="5"/>
    </row>
    <row r="137" spans="4:14" x14ac:dyDescent="0.25">
      <c r="J137" s="1"/>
      <c r="K137" s="28"/>
      <c r="L137" s="28"/>
      <c r="M137" s="5"/>
      <c r="N137" s="5"/>
    </row>
    <row r="138" spans="4:14" x14ac:dyDescent="0.25">
      <c r="J138" s="1"/>
      <c r="K138" s="28"/>
      <c r="L138" s="28"/>
      <c r="M138" s="5"/>
      <c r="N138" s="5"/>
    </row>
    <row r="139" spans="4:14" x14ac:dyDescent="0.25">
      <c r="J139" s="1"/>
      <c r="K139" s="28"/>
      <c r="L139" s="28"/>
      <c r="M139" s="5"/>
      <c r="N139" s="5"/>
    </row>
    <row r="140" spans="4:14" x14ac:dyDescent="0.25">
      <c r="J140" s="1"/>
      <c r="K140" s="28"/>
      <c r="L140" s="28"/>
      <c r="M140" s="5"/>
      <c r="N140" s="5"/>
    </row>
    <row r="141" spans="4:14" x14ac:dyDescent="0.25">
      <c r="J141" s="1"/>
      <c r="K141" s="28"/>
      <c r="L141" s="28"/>
      <c r="M141" s="5"/>
      <c r="N141" s="5"/>
    </row>
    <row r="142" spans="4:14" x14ac:dyDescent="0.25">
      <c r="J142" s="1"/>
      <c r="K142" s="28"/>
      <c r="L142" s="28"/>
      <c r="M142" s="5"/>
      <c r="N142" s="5"/>
    </row>
    <row r="143" spans="4:14" x14ac:dyDescent="0.25">
      <c r="J143" s="1"/>
      <c r="K143" s="28"/>
      <c r="L143" s="28"/>
      <c r="M143" s="5"/>
      <c r="N143" s="5"/>
    </row>
    <row r="144" spans="4:14" x14ac:dyDescent="0.25">
      <c r="J144" s="1"/>
      <c r="K144" s="28"/>
      <c r="L144" s="28"/>
      <c r="M144" s="5"/>
      <c r="N144" s="5"/>
    </row>
    <row r="145" spans="10:14" x14ac:dyDescent="0.25">
      <c r="J145" s="1"/>
      <c r="K145" s="28"/>
      <c r="L145" s="28"/>
      <c r="M145" s="5"/>
      <c r="N145" s="5"/>
    </row>
  </sheetData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Folha0!AF10:AF10</xm:f>
              <xm:sqref>AF3</xm:sqref>
            </x14:sparkline>
            <x14:sparkline>
              <xm:f>Folha0!AG10:AG10</xm:f>
              <xm:sqref>AG3</xm:sqref>
            </x14:sparkline>
            <x14:sparkline>
              <xm:f>Folha0!AH10:AH10</xm:f>
              <xm:sqref>AH3</xm:sqref>
            </x14:sparkline>
            <x14:sparkline>
              <xm:f>Folha0!AI10:AI10</xm:f>
              <xm:sqref>AI3</xm:sqref>
            </x14:sparkline>
            <x14:sparkline>
              <xm:f>Folha0!AJ10:AJ10</xm:f>
              <xm:sqref>AJ3</xm:sqref>
            </x14:sparkline>
            <x14:sparkline>
              <xm:f>Folha0!AK10:AK10</xm:f>
              <xm:sqref>AK3</xm:sqref>
            </x14:sparkline>
            <x14:sparkline>
              <xm:f>Folha0!AL10:AL10</xm:f>
              <xm:sqref>AL3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4"/>
  <sheetViews>
    <sheetView topLeftCell="A13" workbookViewId="0">
      <selection activeCell="AI36" sqref="AI36"/>
    </sheetView>
  </sheetViews>
  <sheetFormatPr defaultRowHeight="15" x14ac:dyDescent="0.25"/>
  <cols>
    <col min="1" max="1" width="3.85546875" customWidth="1"/>
    <col min="2" max="2" width="32.42578125" customWidth="1"/>
    <col min="3" max="3" width="9.140625" customWidth="1"/>
    <col min="4" max="4" width="9.7109375" bestFit="1" customWidth="1"/>
    <col min="5" max="5" width="10.7109375" bestFit="1" customWidth="1"/>
    <col min="6" max="6" width="11.28515625" bestFit="1" customWidth="1"/>
    <col min="7" max="7" width="9.7109375" bestFit="1" customWidth="1"/>
    <col min="8" max="9" width="10.7109375" bestFit="1" customWidth="1"/>
    <col min="10" max="10" width="9.7109375" bestFit="1" customWidth="1"/>
    <col min="11" max="37" width="10.5703125" bestFit="1" customWidth="1"/>
  </cols>
  <sheetData>
    <row r="1" spans="2:41" x14ac:dyDescent="0.25">
      <c r="B1" s="2" t="s">
        <v>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41" x14ac:dyDescent="0.25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1" t="s">
        <v>31</v>
      </c>
      <c r="AH2" s="1" t="s">
        <v>32</v>
      </c>
      <c r="AI2" s="1" t="s">
        <v>33</v>
      </c>
      <c r="AJ2" s="1" t="s">
        <v>34</v>
      </c>
      <c r="AK2" s="1" t="s">
        <v>35</v>
      </c>
      <c r="AL2" s="1"/>
    </row>
    <row r="3" spans="2:41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41" x14ac:dyDescent="0.25">
      <c r="B4" s="52" t="s">
        <v>37</v>
      </c>
      <c r="C4" s="1">
        <f ca="1">+Folha0!D10*Folha0!D15</f>
        <v>0</v>
      </c>
      <c r="D4" s="1">
        <f ca="1">+Folha0!E10*Folha0!E15</f>
        <v>0</v>
      </c>
      <c r="E4" s="1">
        <f ca="1">+Folha0!F10*Folha0!F15</f>
        <v>0</v>
      </c>
      <c r="F4" s="1">
        <f ca="1">+Folha0!G10*Folha0!G15</f>
        <v>0</v>
      </c>
      <c r="G4" s="28">
        <f ca="1">+Folha0!H10*Folha0!H15</f>
        <v>90.051801040046698</v>
      </c>
      <c r="H4" s="28">
        <f ca="1">+Folha0!I10*Folha0!I15</f>
        <v>103.27196767944002</v>
      </c>
      <c r="I4" s="28">
        <f ca="1">+Folha0!J10*Folha0!J15</f>
        <v>127.4984570097876</v>
      </c>
      <c r="J4" s="28">
        <f ca="1">+Folha0!K10*Folha0!K15</f>
        <v>192.61791379721524</v>
      </c>
      <c r="K4" s="28">
        <f ca="1">+Folha0!L10*Folha0!L15</f>
        <v>185.83851384154448</v>
      </c>
      <c r="L4" s="28">
        <f ca="1">+Folha0!M10*Folha0!M15</f>
        <v>258.81073626853652</v>
      </c>
      <c r="M4" s="28">
        <f ca="1">+Folha0!N10*Folha0!N15</f>
        <v>279.62713113863464</v>
      </c>
      <c r="N4" s="28">
        <f ca="1">+Folha0!O10*Folha0!O15</f>
        <v>343.84077592400104</v>
      </c>
      <c r="O4" s="28">
        <f ca="1">+Folha0!P10*Folha0!P15</f>
        <v>323.43148028878608</v>
      </c>
      <c r="P4" s="28">
        <f ca="1">+Folha0!Q10*Folha0!Q15</f>
        <v>483.412097482045</v>
      </c>
      <c r="Q4" s="28">
        <f ca="1">+Folha0!R10*Folha0!R15</f>
        <v>408.09137288218102</v>
      </c>
      <c r="R4" s="28">
        <f ca="1">+Folha0!S10*Folha0!S15</f>
        <v>429.27504542873589</v>
      </c>
      <c r="S4" s="28">
        <f ca="1">+Folha0!T10*Folha0!T15</f>
        <v>423.13900444738567</v>
      </c>
      <c r="T4" s="28">
        <f ca="1">+Folha0!U10*Folha0!U15</f>
        <v>493.10229465968621</v>
      </c>
      <c r="U4" s="28">
        <f ca="1">+Folha0!V10*Folha0!V15</f>
        <v>497.80585860004402</v>
      </c>
      <c r="V4" s="28">
        <f ca="1">+Folha0!W10*Folha0!W15</f>
        <v>498.49633167640434</v>
      </c>
      <c r="W4" s="28">
        <f ca="1">+Folha0!X10*Folha0!X15</f>
        <v>458.00275553713271</v>
      </c>
      <c r="X4" s="28">
        <f ca="1">+Folha0!Y10*Folha0!Y15</f>
        <v>522.77362235419855</v>
      </c>
      <c r="Y4" s="28">
        <f ca="1">+Folha0!Z10*Folha0!Z15</f>
        <v>620.64559270217569</v>
      </c>
      <c r="Z4" s="28">
        <f ca="1">+Folha0!AA10*Folha0!AA15</f>
        <v>555.68936560006</v>
      </c>
      <c r="AA4" s="28">
        <f ca="1">+Folha0!AB10*Folha0!AB15</f>
        <v>525.21657081449098</v>
      </c>
      <c r="AB4" s="28">
        <f ca="1">+Folha0!AC10*Folha0!AC15</f>
        <v>527.53350137351447</v>
      </c>
      <c r="AC4" s="28">
        <f ca="1">+Folha0!AD10*Folha0!AD15</f>
        <v>473.48990583231375</v>
      </c>
      <c r="AD4" s="28">
        <f ca="1">+Folha0!AE10*Folha0!AE15</f>
        <v>425.44946798063006</v>
      </c>
      <c r="AE4" s="28">
        <f ca="1">+Folha0!AF10*Folha0!AF15</f>
        <v>474.68763933318456</v>
      </c>
      <c r="AF4" s="28">
        <f ca="1">+Folha0!AG10*Folha0!AG15</f>
        <v>401.99545956516698</v>
      </c>
      <c r="AG4" s="28">
        <f ca="1">+Folha0!AH10*Folha0!AH15</f>
        <v>348.76444076259583</v>
      </c>
      <c r="AH4" s="28">
        <f ca="1">+Folha0!AI10*Folha0!AI15</f>
        <v>397.51919905625437</v>
      </c>
      <c r="AI4" s="28">
        <f ca="1">+Folha0!AJ10*Folha0!AJ15</f>
        <v>301.31784544927172</v>
      </c>
      <c r="AJ4" s="28">
        <f ca="1">+Folha0!AK10*Folha0!AK15</f>
        <v>370.20882619133323</v>
      </c>
      <c r="AK4" s="28">
        <f ca="1">+Folha0!AL10*Folha0!AL15</f>
        <v>268.97652962148527</v>
      </c>
      <c r="AL4" s="8"/>
      <c r="AM4" s="8"/>
      <c r="AN4" s="8"/>
      <c r="AO4" s="8"/>
    </row>
    <row r="5" spans="2:41" x14ac:dyDescent="0.25">
      <c r="B5" s="5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41" x14ac:dyDescent="0.25">
      <c r="B6" s="52" t="s">
        <v>38</v>
      </c>
      <c r="C6" s="28">
        <f>+Folha0!$C$16*Folha0!D15</f>
        <v>0</v>
      </c>
      <c r="D6" s="28">
        <f>+Folha0!$C$16*Folha0!E15</f>
        <v>0</v>
      </c>
      <c r="E6" s="28">
        <f>+Folha0!$C$16*Folha0!F15</f>
        <v>0</v>
      </c>
      <c r="F6" s="28">
        <f>+Folha0!$C$16*Folha0!G15</f>
        <v>0</v>
      </c>
      <c r="G6" s="28">
        <f ca="1">+(Folha0!$C$16*Folha0!H15)*Folha0!H10/Folha0!G10</f>
        <v>3.0303314705381172</v>
      </c>
      <c r="H6" s="28">
        <f ca="1">+(Folha0!$C$16*Folha0!I15)*Folha0!I10/Folha0!H10</f>
        <v>3.3202775798553317</v>
      </c>
      <c r="I6" s="28">
        <f ca="1">+(Folha0!$C$16*Folha0!J15)*Folha0!J10/Folha0!I10</f>
        <v>4.4427027874861604</v>
      </c>
      <c r="J6" s="28">
        <f ca="1">+(Folha0!$C$16*Folha0!K15)*Folha0!K10/Folha0!J10</f>
        <v>5.9945766019110538</v>
      </c>
      <c r="K6" s="28">
        <f ca="1">+(Folha0!$C$16*Folha0!L15)*Folha0!L10/Folha0!K10</f>
        <v>5.5271617601619072</v>
      </c>
      <c r="L6" s="28">
        <f ca="1">+(Folha0!$C$16*Folha0!M15)*Folha0!M10/Folha0!L10</f>
        <v>7.4510928900790958</v>
      </c>
      <c r="M6" s="28">
        <f ca="1">+(Folha0!$C$16*Folha0!N15)*Folha0!N10/Folha0!M10</f>
        <v>7.6691407629101924</v>
      </c>
      <c r="N6" s="28">
        <f ca="1">+(Folha0!$C$16*Folha0!O15)*Folha0!O10/Folha0!N10</f>
        <v>8.0455428124928599</v>
      </c>
      <c r="O6" s="28">
        <f ca="1">+(Folha0!$C$16*Folha0!P15)*Folha0!P10/Folha0!O10</f>
        <v>6.7580386403244237</v>
      </c>
      <c r="P6" s="28">
        <f ca="1">+(Folha0!$C$16*Folha0!Q15)*Folha0!Q10/Folha0!P10</f>
        <v>11.225700271938731</v>
      </c>
      <c r="Q6" s="28">
        <f ca="1">+(Folha0!$C$16*Folha0!R15)*Folha0!R10/Folha0!Q10</f>
        <v>8.3898533571432026</v>
      </c>
      <c r="R6" s="28">
        <f ca="1">+(Folha0!$C$16*Folha0!S15)*Folha0!S10/Folha0!R10</f>
        <v>9.3190341061424462</v>
      </c>
      <c r="S6" s="28">
        <f ca="1">+(Folha0!$C$16*Folha0!T15)*Folha0!T10/Folha0!S10</f>
        <v>9.1110853618338101</v>
      </c>
      <c r="T6" s="28">
        <f ca="1">+(Folha0!$C$16*Folha0!U15)*Folha0!U10/Folha0!T10</f>
        <v>11.509859762473733</v>
      </c>
      <c r="U6" s="28">
        <f ca="1">+(Folha0!$C$16*Folha0!V15)*Folha0!V10/Folha0!U10</f>
        <v>10.481100899801877</v>
      </c>
      <c r="V6" s="28">
        <f ca="1">+(Folha0!$C$16*Folha0!W15)*Folha0!W10/Folha0!V10</f>
        <v>10.675623039636443</v>
      </c>
      <c r="W6" s="28">
        <f ca="1">+(Folha0!$C$16*Folha0!X15)*Folha0!X10/Folha0!W10</f>
        <v>10.666642779587583</v>
      </c>
      <c r="X6" s="28">
        <f ca="1">+(Folha0!$C$16*Folha0!Y15)*Folha0!Y10/Folha0!X10</f>
        <v>12.814036624829198</v>
      </c>
      <c r="Y6" s="28">
        <f ca="1">+(Folha0!$C$16*Folha0!Z15)*Folha0!Z10/Folha0!Y10</f>
        <v>13.830658701051807</v>
      </c>
      <c r="Z6" s="28">
        <f ca="1">+(Folha0!$C$16*Folha0!AA15)*Folha0!AA10/Folha0!Z10</f>
        <v>12.565239050635013</v>
      </c>
      <c r="AA6" s="28">
        <f ca="1">+(Folha0!$C$16*Folha0!AB15)*Folha0!AB10/Folha0!AA10</f>
        <v>11.041455007572567</v>
      </c>
      <c r="AB6" s="28">
        <f ca="1">+(Folha0!$C$16*Folha0!AC15)*Folha0!AC10/Folha0!AB10</f>
        <v>10.841827546101191</v>
      </c>
      <c r="AC6" s="28">
        <f ca="1">+(Folha0!$C$16*Folha0!AD15)*Folha0!AD10/Folha0!AC10</f>
        <v>10.61134557842032</v>
      </c>
      <c r="AD6" s="28">
        <f ca="1">+(Folha0!$C$16*Folha0!AE15)*Folha0!AE10/Folha0!AD10</f>
        <v>10.665649534049969</v>
      </c>
      <c r="AE6" s="28">
        <f ca="1">+(Folha0!$C$16*Folha0!AF15)*Folha0!AF10/Folha0!AE10</f>
        <v>12.103241133430416</v>
      </c>
      <c r="AF6" s="28">
        <f ca="1">+(Folha0!$C$16*Folha0!AG15)*Folha0!AG10/Folha0!AF10</f>
        <v>8.8370456286351029</v>
      </c>
      <c r="AG6" s="28">
        <f ca="1">+(Folha0!$C$16*Folha0!AH15)*Folha0!AH10/Folha0!AG10</f>
        <v>7.0367871622347975</v>
      </c>
      <c r="AH6" s="28">
        <f ca="1">+(Folha0!$C$16*Folha0!AI15)*Folha0!AI10/Folha0!AH10</f>
        <v>8.572925935530483</v>
      </c>
      <c r="AI6" s="28">
        <f ca="1">+(Folha0!$C$16*Folha0!AJ15)*Folha0!AJ10/Folha0!AI10</f>
        <v>6.052579375835629</v>
      </c>
      <c r="AJ6" s="28">
        <f ca="1">+(Folha0!$C$16*Folha0!AK15)*Folha0!AK10/Folha0!AJ10</f>
        <v>7.7909260876914619</v>
      </c>
      <c r="AK6" s="28">
        <f ca="1">+(Folha0!$C$16*Folha0!AL15)*Folha0!AL10/Folha0!AK10</f>
        <v>4.9870440695523559</v>
      </c>
      <c r="AL6" s="28"/>
      <c r="AM6" s="28"/>
      <c r="AN6" s="28"/>
      <c r="AO6" s="28"/>
    </row>
    <row r="7" spans="2:41" x14ac:dyDescent="0.25">
      <c r="B7" s="52" t="s">
        <v>39</v>
      </c>
      <c r="C7" s="28">
        <v>0</v>
      </c>
      <c r="D7" s="28">
        <v>0</v>
      </c>
      <c r="E7" s="28">
        <v>0</v>
      </c>
      <c r="F7" s="28">
        <v>0</v>
      </c>
      <c r="G7" s="28">
        <f ca="1">+Folha0!H18*Folha0!H5</f>
        <v>18.385848133929422</v>
      </c>
      <c r="H7" s="28">
        <f ca="1">+Folha0!I18*Folha0!I5</f>
        <v>17.76456725365712</v>
      </c>
      <c r="I7" s="28">
        <f ca="1">+Folha0!J18*Folha0!J5</f>
        <v>19.380610587858424</v>
      </c>
      <c r="J7" s="28">
        <f ca="1">+Folha0!K18*Folha0!K5</f>
        <v>19.013632305494223</v>
      </c>
      <c r="K7" s="28">
        <f ca="1">+Folha0!L18*Folha0!L5</f>
        <v>16.935363126900455</v>
      </c>
      <c r="L7" s="28">
        <f ca="1">+Folha0!M18*Folha0!M5</f>
        <v>21.319740469753576</v>
      </c>
      <c r="M7" s="28">
        <f ca="1">+Folha0!N18*Folha0!N5</f>
        <v>21.934419764227162</v>
      </c>
      <c r="N7" s="28">
        <f ca="1">+Folha0!O18*Folha0!O5</f>
        <v>22.206920107465738</v>
      </c>
      <c r="O7" s="28">
        <f ca="1">+Folha0!P18*Folha0!P5</f>
        <v>22.866723631934914</v>
      </c>
      <c r="P7" s="28">
        <f ca="1">+Folha0!Q18*Folha0!Q5</f>
        <v>22.208775389207744</v>
      </c>
      <c r="Q7" s="28">
        <f ca="1">+Folha0!R18*Folha0!R5</f>
        <v>23.898262699540094</v>
      </c>
      <c r="R7" s="28">
        <f ca="1">+Folha0!S18*Folha0!S5</f>
        <v>20.828360511254882</v>
      </c>
      <c r="S7" s="28">
        <f ca="1">+Folha0!T18*Folha0!T5</f>
        <v>26.033506853561786</v>
      </c>
      <c r="T7" s="28">
        <f ca="1">+Folha0!U18*Folha0!U5</f>
        <v>22.096807666390305</v>
      </c>
      <c r="U7" s="28">
        <f ca="1">+Folha0!V18*Folha0!V5</f>
        <v>22.759711896382015</v>
      </c>
      <c r="V7" s="28">
        <f ca="1">+Folha0!W18*Folha0!W5</f>
        <v>28.651948420667583</v>
      </c>
      <c r="W7" s="28">
        <f ca="1">+Folha0!X18*Folha0!X5</f>
        <v>25.590275935583151</v>
      </c>
      <c r="X7" s="28">
        <f ca="1">+Folha0!Y18*Folha0!Y5</f>
        <v>26.511658484731502</v>
      </c>
      <c r="Y7" s="28">
        <f ca="1">+Folha0!Z18*Folha0!Z5</f>
        <v>27.718513453139956</v>
      </c>
      <c r="Z7" s="28">
        <f ca="1">+Folha0!AA18*Folha0!AA5</f>
        <v>31.77370009246393</v>
      </c>
      <c r="AA7" s="28">
        <f ca="1">+Folha0!AB18*Folha0!AB5</f>
        <v>31.960601291917069</v>
      </c>
      <c r="AB7" s="28">
        <f ca="1">+Folha0!AC18*Folha0!AC5</f>
        <v>28.733161424161743</v>
      </c>
      <c r="AC7" s="28">
        <f ca="1">+Folha0!AD18*Folha0!AD5</f>
        <v>31.441921894577128</v>
      </c>
      <c r="AD7" s="28">
        <f ca="1">+Folha0!AE18*Folha0!AE5</f>
        <v>29.696261754078702</v>
      </c>
      <c r="AE7" s="28">
        <f ca="1">+Folha0!AF18*Folha0!AF5</f>
        <v>34.696403180825087</v>
      </c>
      <c r="AF7" s="28">
        <f ca="1">+Folha0!AG18*Folha0!AG5</f>
        <v>37.563952549547025</v>
      </c>
      <c r="AG7" s="28">
        <f ca="1">+Folha0!AH18*Folha0!AH5</f>
        <v>32.449907017749162</v>
      </c>
      <c r="AH7" s="28">
        <f ca="1">+Folha0!AI18*Folha0!AI5</f>
        <v>36.409714697629276</v>
      </c>
      <c r="AI7" s="28">
        <f ca="1">+Folha0!AJ18*Folha0!AJ5</f>
        <v>41.205848148460944</v>
      </c>
      <c r="AJ7" s="28">
        <f ca="1">+Folha0!AK18*Folha0!AK5</f>
        <v>35.458889545783997</v>
      </c>
      <c r="AK7" s="28">
        <f ca="1">+Folha0!AL18*Folha0!AL5</f>
        <v>40.198491230904366</v>
      </c>
      <c r="AL7" s="28"/>
      <c r="AM7" s="28"/>
      <c r="AN7" s="28"/>
      <c r="AO7" s="28"/>
    </row>
    <row r="8" spans="2:41" x14ac:dyDescent="0.25">
      <c r="B8" s="52" t="s">
        <v>40</v>
      </c>
      <c r="C8" s="28">
        <f ca="1">+Folha0!D19*Folha1!C4</f>
        <v>0</v>
      </c>
      <c r="D8" s="28">
        <f ca="1">+Folha0!E19*Folha1!D4</f>
        <v>0</v>
      </c>
      <c r="E8" s="28">
        <f ca="1">+Folha0!F19*Folha1!E4</f>
        <v>0</v>
      </c>
      <c r="F8" s="28">
        <f ca="1">+Folha0!G19*Folha1!F4</f>
        <v>0</v>
      </c>
      <c r="G8" s="28">
        <f ca="1">+Folha0!H19*Folha1!G4</f>
        <v>18.010360208009342</v>
      </c>
      <c r="H8" s="28">
        <f ca="1">+Folha0!I19*Folha1!H4</f>
        <v>20.654393535888005</v>
      </c>
      <c r="I8" s="28">
        <f ca="1">+Folha0!J19*Folha1!I4</f>
        <v>25.49969140195752</v>
      </c>
      <c r="J8" s="28">
        <f ca="1">+Folha0!K19*Folha1!J4</f>
        <v>38.523582759443052</v>
      </c>
      <c r="K8" s="28">
        <f ca="1">+Folha0!L19*Folha1!K4</f>
        <v>37.167702768308899</v>
      </c>
      <c r="L8" s="28">
        <f ca="1">+Folha0!M19*Folha1!L4</f>
        <v>51.762147253707305</v>
      </c>
      <c r="M8" s="28">
        <f ca="1">+Folha0!N19*Folha1!M4</f>
        <v>55.925426227726931</v>
      </c>
      <c r="N8" s="28">
        <f ca="1">+Folha0!O19*Folha1!N4</f>
        <v>68.768155184800207</v>
      </c>
      <c r="O8" s="28">
        <f ca="1">+Folha0!P19*Folha1!O4</f>
        <v>64.686296057757218</v>
      </c>
      <c r="P8" s="28">
        <f ca="1">+Folha0!Q19*Folha1!P4</f>
        <v>96.682419496409011</v>
      </c>
      <c r="Q8" s="28">
        <f ca="1">+Folha0!R19*Folha1!Q4</f>
        <v>81.618274576436207</v>
      </c>
      <c r="R8" s="28">
        <f ca="1">+Folha0!S19*Folha1!R4</f>
        <v>85.855009085747184</v>
      </c>
      <c r="S8" s="28">
        <f ca="1">+Folha0!T19*Folha1!S4</f>
        <v>84.627800889477143</v>
      </c>
      <c r="T8" s="28">
        <f ca="1">+Folha0!U19*Folha1!T4</f>
        <v>98.62045893193725</v>
      </c>
      <c r="U8" s="28">
        <f ca="1">+Folha0!V19*Folha1!U4</f>
        <v>99.561171720008815</v>
      </c>
      <c r="V8" s="28">
        <f ca="1">+Folha0!W19*Folha1!V4</f>
        <v>99.699266335280868</v>
      </c>
      <c r="W8" s="28">
        <f ca="1">+Folha0!X19*Folha1!W4</f>
        <v>91.600551107426554</v>
      </c>
      <c r="X8" s="28">
        <f ca="1">+Folha0!Y19*Folha1!X4</f>
        <v>104.55472447083972</v>
      </c>
      <c r="Y8" s="28">
        <f ca="1">+Folha0!Z19*Folha1!Y4</f>
        <v>124.12911854043514</v>
      </c>
      <c r="Z8" s="28">
        <f ca="1">+Folha0!AA19*Folha1!Z4</f>
        <v>111.137873120012</v>
      </c>
      <c r="AA8" s="28">
        <f ca="1">+Folha0!AB19*Folha1!AA4</f>
        <v>105.0433141628982</v>
      </c>
      <c r="AB8" s="28">
        <f ca="1">+Folha0!AC19*Folha1!AB4</f>
        <v>105.50670027470289</v>
      </c>
      <c r="AC8" s="28">
        <f ca="1">+Folha0!AD19*Folha1!AC4</f>
        <v>94.697981166462753</v>
      </c>
      <c r="AD8" s="28">
        <f ca="1">+Folha0!AE19*Folha1!AD4</f>
        <v>85.089893596126018</v>
      </c>
      <c r="AE8" s="28">
        <f ca="1">+Folha0!AF19*Folha1!AE4</f>
        <v>94.937527866636913</v>
      </c>
      <c r="AF8" s="28">
        <f ca="1">+Folha0!AG19*Folha1!AF4</f>
        <v>80.399091913033402</v>
      </c>
      <c r="AG8" s="28">
        <f ca="1">+Folha0!AH19*Folha1!AG4</f>
        <v>69.752888152519162</v>
      </c>
      <c r="AH8" s="28">
        <f ca="1">+Folha0!AI19*Folha1!AH4</f>
        <v>79.503839811250884</v>
      </c>
      <c r="AI8" s="28">
        <f ca="1">+Folha0!AJ19*Folha1!AI4</f>
        <v>60.263569089854343</v>
      </c>
      <c r="AJ8" s="28">
        <f ca="1">+Folha0!AK19*Folha1!AJ4</f>
        <v>74.041765238266649</v>
      </c>
      <c r="AK8" s="28">
        <f ca="1">+Folha0!AL19*Folha1!AK4</f>
        <v>53.795305924297054</v>
      </c>
      <c r="AL8" s="28"/>
      <c r="AM8" s="28"/>
      <c r="AN8" s="28"/>
      <c r="AO8" s="28"/>
    </row>
    <row r="9" spans="2:41" x14ac:dyDescent="0.25">
      <c r="B9" s="5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</row>
    <row r="10" spans="2:41" x14ac:dyDescent="0.25">
      <c r="B10" s="52" t="s">
        <v>41</v>
      </c>
      <c r="C10" s="28">
        <f ca="1">+C4-C6-C7-C8</f>
        <v>0</v>
      </c>
      <c r="D10" s="28">
        <f t="shared" ref="D10:AK10" ca="1" si="0">+D4-D6-D7-D8</f>
        <v>0</v>
      </c>
      <c r="E10" s="28">
        <f t="shared" ca="1" si="0"/>
        <v>0</v>
      </c>
      <c r="F10" s="28">
        <f t="shared" ca="1" si="0"/>
        <v>0</v>
      </c>
      <c r="G10" s="28">
        <f t="shared" ca="1" si="0"/>
        <v>50.625261227569823</v>
      </c>
      <c r="H10" s="28">
        <f t="shared" ca="1" si="0"/>
        <v>61.532729310039571</v>
      </c>
      <c r="I10" s="28">
        <f t="shared" ca="1" si="0"/>
        <v>78.175452232485497</v>
      </c>
      <c r="J10" s="28">
        <f t="shared" ca="1" si="0"/>
        <v>129.0861221303669</v>
      </c>
      <c r="K10" s="28">
        <f t="shared" ca="1" si="0"/>
        <v>126.20828618617323</v>
      </c>
      <c r="L10" s="28">
        <f t="shared" ca="1" si="0"/>
        <v>178.27775565499653</v>
      </c>
      <c r="M10" s="28">
        <f t="shared" ca="1" si="0"/>
        <v>194.09814438377032</v>
      </c>
      <c r="N10" s="28">
        <f t="shared" ca="1" si="0"/>
        <v>244.82015781924224</v>
      </c>
      <c r="O10" s="28">
        <f t="shared" ca="1" si="0"/>
        <v>229.12042195876955</v>
      </c>
      <c r="P10" s="28">
        <f t="shared" ca="1" si="0"/>
        <v>353.29520232448954</v>
      </c>
      <c r="Q10" s="28">
        <f t="shared" ca="1" si="0"/>
        <v>294.18498224906153</v>
      </c>
      <c r="R10" s="28">
        <f t="shared" ca="1" si="0"/>
        <v>313.27264172559137</v>
      </c>
      <c r="S10" s="28">
        <f t="shared" ca="1" si="0"/>
        <v>303.3666113425129</v>
      </c>
      <c r="T10" s="28">
        <f t="shared" ca="1" si="0"/>
        <v>360.87516829888489</v>
      </c>
      <c r="U10" s="28">
        <f t="shared" ca="1" si="0"/>
        <v>365.00387408385131</v>
      </c>
      <c r="V10" s="28">
        <f t="shared" ca="1" si="0"/>
        <v>359.46949388081947</v>
      </c>
      <c r="W10" s="28">
        <f t="shared" ca="1" si="0"/>
        <v>330.14528571453548</v>
      </c>
      <c r="X10" s="28">
        <f t="shared" ca="1" si="0"/>
        <v>378.89320277379807</v>
      </c>
      <c r="Y10" s="28">
        <f t="shared" ca="1" si="0"/>
        <v>454.96730200754882</v>
      </c>
      <c r="Z10" s="28">
        <f t="shared" ca="1" si="0"/>
        <v>400.2125533369491</v>
      </c>
      <c r="AA10" s="28">
        <f t="shared" ca="1" si="0"/>
        <v>377.17120035210314</v>
      </c>
      <c r="AB10" s="28">
        <f t="shared" ca="1" si="0"/>
        <v>382.45181212854868</v>
      </c>
      <c r="AC10" s="28">
        <f t="shared" ca="1" si="0"/>
        <v>336.73865719285357</v>
      </c>
      <c r="AD10" s="28">
        <f t="shared" ca="1" si="0"/>
        <v>299.99766309637539</v>
      </c>
      <c r="AE10" s="28">
        <f t="shared" ca="1" si="0"/>
        <v>332.95046715229216</v>
      </c>
      <c r="AF10" s="28">
        <f t="shared" ca="1" si="0"/>
        <v>275.19536947395147</v>
      </c>
      <c r="AG10" s="28">
        <f t="shared" ca="1" si="0"/>
        <v>239.52485843009265</v>
      </c>
      <c r="AH10" s="28">
        <f t="shared" ca="1" si="0"/>
        <v>273.03271861184373</v>
      </c>
      <c r="AI10" s="28">
        <f t="shared" ca="1" si="0"/>
        <v>193.79584883512078</v>
      </c>
      <c r="AJ10" s="28">
        <f t="shared" ca="1" si="0"/>
        <v>252.91724531959113</v>
      </c>
      <c r="AK10" s="28">
        <f t="shared" ca="1" si="0"/>
        <v>169.99568839673145</v>
      </c>
      <c r="AL10" s="28"/>
      <c r="AM10" s="28"/>
      <c r="AN10" s="28"/>
      <c r="AO10" s="28"/>
    </row>
    <row r="11" spans="2:41" x14ac:dyDescent="0.25">
      <c r="B11" s="52" t="s">
        <v>42</v>
      </c>
      <c r="C11" s="28">
        <f>+Folha2!V4</f>
        <v>0</v>
      </c>
      <c r="D11" s="28">
        <f>+Folha2!V5</f>
        <v>0</v>
      </c>
      <c r="E11" s="28">
        <f>+Folha2!V6</f>
        <v>0</v>
      </c>
      <c r="F11" s="28">
        <f>+Folha2!W6</f>
        <v>0</v>
      </c>
      <c r="G11" s="28">
        <f ca="1">+Folha2!V7</f>
        <v>33.507104997114077</v>
      </c>
      <c r="H11" s="28">
        <f ca="1">+Folha2!V8</f>
        <v>37.815378636452252</v>
      </c>
      <c r="I11" s="28">
        <f ca="1">+Folha2!V9</f>
        <v>38.730561834663312</v>
      </c>
      <c r="J11" s="28">
        <f ca="1">+Folha2!V10</f>
        <v>39.461461368351451</v>
      </c>
      <c r="K11" s="28">
        <f ca="1">+Folha2!V11</f>
        <v>40.173295343586801</v>
      </c>
      <c r="L11" s="28">
        <f ca="1">+Folha2!V12</f>
        <v>41.060563884127674</v>
      </c>
      <c r="M11" s="28">
        <f ca="1">+Folha2!V13</f>
        <v>41.854522640078592</v>
      </c>
      <c r="N11" s="28">
        <f ca="1">+Folha2!V14</f>
        <v>42.656662680359709</v>
      </c>
      <c r="O11" s="28">
        <f ca="1">+Folha2!V15</f>
        <v>43.68199903739638</v>
      </c>
      <c r="P11" s="28">
        <f ca="1">+Folha2!V16</f>
        <v>44.898801351564117</v>
      </c>
      <c r="Q11" s="28">
        <f ca="1">+Folha2!V17</f>
        <v>45.8859758973217</v>
      </c>
      <c r="R11" s="28">
        <f ca="1">+Folha2!V18</f>
        <v>46.824815302653228</v>
      </c>
      <c r="S11" s="28">
        <f ca="1">+Folha2!V19</f>
        <v>48.109507208121556</v>
      </c>
      <c r="T11" s="28">
        <f ca="1">+Folha2!V20</f>
        <v>48.986427227352138</v>
      </c>
      <c r="U11" s="28">
        <f ca="1">+Folha2!V21</f>
        <v>49.97619066432646</v>
      </c>
      <c r="V11" s="28">
        <f ca="1">+Folha2!V22</f>
        <v>17.45350951154678</v>
      </c>
      <c r="W11" s="28">
        <f ca="1">+Folha2!V23</f>
        <v>13.145235872208604</v>
      </c>
      <c r="X11" s="28">
        <f ca="1">+Folha2!V24</f>
        <v>12.230052673997539</v>
      </c>
      <c r="Y11" s="28">
        <f ca="1">+Folha2!V25</f>
        <v>11.499153140309405</v>
      </c>
      <c r="Z11" s="28">
        <f ca="1">+Folha2!V26</f>
        <v>10.787319165074052</v>
      </c>
      <c r="AA11" s="28">
        <f ca="1">+Folha2!V27</f>
        <v>9.900050624533181</v>
      </c>
      <c r="AB11" s="28">
        <f ca="1">+Folha2!V28</f>
        <v>9.1060918685822649</v>
      </c>
      <c r="AC11" s="28">
        <f ca="1">+Folha2!V29</f>
        <v>8.3039518283011482</v>
      </c>
      <c r="AD11" s="28">
        <f ca="1">+Folha2!V30</f>
        <v>7.2786154712644766</v>
      </c>
      <c r="AE11" s="28">
        <f ca="1">+Folha2!V31</f>
        <v>6.06181315709674</v>
      </c>
      <c r="AF11" s="28">
        <f ca="1">+Folha2!V32</f>
        <v>5.0746386113391537</v>
      </c>
      <c r="AG11" s="28">
        <f ca="1">+Folha2!V33</f>
        <v>4.1357992060076239</v>
      </c>
      <c r="AH11" s="28">
        <f ca="1">+Folha2!V34</f>
        <v>2.8511073005392968</v>
      </c>
      <c r="AI11" s="28">
        <f ca="1">+Folha2!V35</f>
        <v>1.9741872813087133</v>
      </c>
      <c r="AJ11" s="28">
        <f ca="1">+Folha2!V36</f>
        <v>0.98442384433439212</v>
      </c>
      <c r="AK11" s="28">
        <v>0</v>
      </c>
      <c r="AL11" s="28"/>
      <c r="AM11" s="28"/>
      <c r="AN11" s="28"/>
      <c r="AO11" s="28"/>
    </row>
    <row r="12" spans="2:41" x14ac:dyDescent="0.25">
      <c r="B12" s="52" t="s">
        <v>84</v>
      </c>
      <c r="C12" s="28">
        <f ca="1">+C10-C11</f>
        <v>0</v>
      </c>
      <c r="D12" s="28">
        <f t="shared" ref="D12:AK12" ca="1" si="1">+D10-D11</f>
        <v>0</v>
      </c>
      <c r="E12" s="28">
        <f t="shared" ca="1" si="1"/>
        <v>0</v>
      </c>
      <c r="F12" s="28">
        <f t="shared" ca="1" si="1"/>
        <v>0</v>
      </c>
      <c r="G12" s="28">
        <f t="shared" ca="1" si="1"/>
        <v>17.118156230455746</v>
      </c>
      <c r="H12" s="28">
        <f t="shared" ca="1" si="1"/>
        <v>23.717350673587319</v>
      </c>
      <c r="I12" s="28">
        <f t="shared" ca="1" si="1"/>
        <v>39.444890397822185</v>
      </c>
      <c r="J12" s="28">
        <f t="shared" ca="1" si="1"/>
        <v>89.624660762015452</v>
      </c>
      <c r="K12" s="28">
        <f t="shared" ca="1" si="1"/>
        <v>86.034990842586424</v>
      </c>
      <c r="L12" s="28">
        <f t="shared" ca="1" si="1"/>
        <v>137.21719177086885</v>
      </c>
      <c r="M12" s="28">
        <f t="shared" ca="1" si="1"/>
        <v>152.24362174369173</v>
      </c>
      <c r="N12" s="28">
        <f t="shared" ca="1" si="1"/>
        <v>202.16349513888252</v>
      </c>
      <c r="O12" s="28">
        <f t="shared" ca="1" si="1"/>
        <v>185.43842292137316</v>
      </c>
      <c r="P12" s="28">
        <f t="shared" ca="1" si="1"/>
        <v>308.39640097292545</v>
      </c>
      <c r="Q12" s="28">
        <f t="shared" ca="1" si="1"/>
        <v>248.29900635173982</v>
      </c>
      <c r="R12" s="28">
        <f t="shared" ca="1" si="1"/>
        <v>266.44782642293814</v>
      </c>
      <c r="S12" s="28">
        <f t="shared" ca="1" si="1"/>
        <v>255.25710413439134</v>
      </c>
      <c r="T12" s="28">
        <f t="shared" ca="1" si="1"/>
        <v>311.88874107153276</v>
      </c>
      <c r="U12" s="28">
        <f t="shared" ca="1" si="1"/>
        <v>315.02768341952486</v>
      </c>
      <c r="V12" s="28">
        <f t="shared" ca="1" si="1"/>
        <v>342.0159843692727</v>
      </c>
      <c r="W12" s="28">
        <f t="shared" ca="1" si="1"/>
        <v>317.00004984232686</v>
      </c>
      <c r="X12" s="28">
        <f t="shared" ca="1" si="1"/>
        <v>366.66315009980053</v>
      </c>
      <c r="Y12" s="28">
        <f t="shared" ca="1" si="1"/>
        <v>443.46814886723939</v>
      </c>
      <c r="Z12" s="28">
        <f t="shared" ca="1" si="1"/>
        <v>389.42523417187505</v>
      </c>
      <c r="AA12" s="28">
        <f t="shared" ca="1" si="1"/>
        <v>367.27114972756993</v>
      </c>
      <c r="AB12" s="28">
        <f t="shared" ca="1" si="1"/>
        <v>373.34572025996641</v>
      </c>
      <c r="AC12" s="28">
        <f t="shared" ca="1" si="1"/>
        <v>328.43470536455243</v>
      </c>
      <c r="AD12" s="28">
        <f t="shared" ca="1" si="1"/>
        <v>292.71904762511093</v>
      </c>
      <c r="AE12" s="28">
        <f t="shared" ca="1" si="1"/>
        <v>326.8886539951954</v>
      </c>
      <c r="AF12" s="28">
        <f t="shared" ca="1" si="1"/>
        <v>270.12073086261233</v>
      </c>
      <c r="AG12" s="28">
        <f t="shared" ca="1" si="1"/>
        <v>235.38905922408503</v>
      </c>
      <c r="AH12" s="28">
        <f t="shared" ca="1" si="1"/>
        <v>270.18161131130444</v>
      </c>
      <c r="AI12" s="28">
        <f t="shared" ca="1" si="1"/>
        <v>191.82166155381208</v>
      </c>
      <c r="AJ12" s="28">
        <f t="shared" ca="1" si="1"/>
        <v>251.93282147525673</v>
      </c>
      <c r="AK12" s="28">
        <f t="shared" ca="1" si="1"/>
        <v>169.99568839673145</v>
      </c>
      <c r="AL12" s="28"/>
      <c r="AM12" s="28"/>
      <c r="AN12" s="28"/>
      <c r="AO12" s="28"/>
    </row>
    <row r="13" spans="2:41" x14ac:dyDescent="0.25">
      <c r="B13" s="52" t="s">
        <v>145</v>
      </c>
      <c r="C13" s="28">
        <f>+Folha3!C4+Folha3!C7+Folha3!C11+Folha3!C14+Folha3!C18+Folha3!C21</f>
        <v>0</v>
      </c>
      <c r="D13" s="28">
        <f>+Folha3!D4+Folha3!D7+Folha3!D11+Folha3!D14+Folha3!D18+Folha3!D21</f>
        <v>0</v>
      </c>
      <c r="E13" s="28">
        <f>+Folha3!E4+Folha3!E7+Folha3!E11+Folha3!E14+Folha3!E18+Folha3!E21</f>
        <v>0</v>
      </c>
      <c r="F13" s="28">
        <f>+Folha3!F4+Folha3!F7+Folha3!F11+Folha3!F14+Folha3!F18+Folha3!F21</f>
        <v>0</v>
      </c>
      <c r="G13" s="28">
        <f>+Folha3!G4+Folha3!G7+Folha3!G11+Folha3!G14+Folha3!G18+Folha3!G21</f>
        <v>0</v>
      </c>
      <c r="H13" s="28">
        <f>+Folha3!H4+Folha3!H7+Folha3!H11+Folha3!H14+Folha3!H18+Folha3!H21</f>
        <v>0</v>
      </c>
      <c r="I13" s="28">
        <f>+Folha3!I4+Folha3!I7+Folha3!I11+Folha3!I14+Folha3!I18+Folha3!I21</f>
        <v>0</v>
      </c>
      <c r="J13" s="28">
        <f>+Folha3!J4+Folha3!J7+Folha3!J11+Folha3!J14+Folha3!J18+Folha3!J21</f>
        <v>0</v>
      </c>
      <c r="K13" s="28">
        <f>+Folha3!K4+Folha3!K7+Folha3!K11+Folha3!K14+Folha3!K18+Folha3!K21</f>
        <v>0</v>
      </c>
      <c r="L13" s="28">
        <f>+Folha3!L4+Folha3!L7+Folha3!L11+Folha3!L14+Folha3!L18+Folha3!L21</f>
        <v>0</v>
      </c>
      <c r="M13" s="28">
        <f>+Folha3!M4+Folha3!M7+Folha3!M11+Folha3!M14+Folha3!M18+Folha3!M21</f>
        <v>0</v>
      </c>
      <c r="N13" s="28">
        <f>+Folha3!N4+Folha3!N7+Folha3!N11+Folha3!N14+Folha3!N18+Folha3!N21</f>
        <v>0</v>
      </c>
      <c r="O13" s="28">
        <f>+Folha3!O4+Folha3!O7+Folha3!O11+Folha3!O14+Folha3!O18+Folha3!O21</f>
        <v>0</v>
      </c>
      <c r="P13" s="28">
        <f>+Folha3!P4+Folha3!P7+Folha3!P11+Folha3!P14+Folha3!P18+Folha3!P21</f>
        <v>0</v>
      </c>
      <c r="Q13" s="28">
        <f>+Folha3!Q4+Folha3!Q7+Folha3!Q11+Folha3!Q14+Folha3!Q18+Folha3!Q21</f>
        <v>0</v>
      </c>
      <c r="R13" s="28">
        <f>+Folha3!R4+Folha3!R7+Folha3!R11+Folha3!R14+Folha3!R18+Folha3!R21</f>
        <v>0</v>
      </c>
      <c r="S13" s="28">
        <f>+Folha3!S4+Folha3!S7+Folha3!S11+Folha3!S14+Folha3!S18+Folha3!S21</f>
        <v>0</v>
      </c>
      <c r="T13" s="28">
        <f>+Folha3!T4+Folha3!T7+Folha3!T11+Folha3!T14+Folha3!T18+Folha3!T21</f>
        <v>0</v>
      </c>
      <c r="U13" s="28">
        <f>+Folha3!U4+Folha3!U7+Folha3!U11+Folha3!U14+Folha3!U18+Folha3!U21</f>
        <v>0</v>
      </c>
      <c r="V13" s="28">
        <f>+Folha3!V4+Folha3!V7+Folha3!V11+Folha3!V14+Folha3!V18+Folha3!V21</f>
        <v>0</v>
      </c>
      <c r="W13" s="28">
        <f>+Folha3!W4+Folha3!W7+Folha3!W11+Folha3!W14+Folha3!W18+Folha3!W21</f>
        <v>0</v>
      </c>
      <c r="X13" s="28">
        <f>+Folha3!X4+Folha3!X7+Folha3!X11+Folha3!X14+Folha3!X18+Folha3!X21</f>
        <v>0</v>
      </c>
      <c r="Y13" s="28">
        <f>+Folha3!Y4+Folha3!Y7+Folha3!Y11+Folha3!Y14+Folha3!Y18+Folha3!Y21</f>
        <v>0</v>
      </c>
      <c r="Z13" s="28">
        <f>+Folha3!Z4+Folha3!Z7+Folha3!Z11+Folha3!Z14+Folha3!Z18+Folha3!Z21</f>
        <v>0</v>
      </c>
      <c r="AA13" s="28">
        <f>+Folha3!AA4+Folha3!AA7+Folha3!AA11+Folha3!AA14+Folha3!AA18+Folha3!AA21</f>
        <v>0</v>
      </c>
      <c r="AB13" s="28">
        <f>+Folha3!AB4+Folha3!AB7+Folha3!AB11+Folha3!AB14+Folha3!AB18+Folha3!AB21</f>
        <v>0</v>
      </c>
      <c r="AC13" s="28">
        <f>+Folha3!AC4+Folha3!AC7+Folha3!AC11+Folha3!AC14+Folha3!AC18+Folha3!AC21</f>
        <v>0</v>
      </c>
      <c r="AD13" s="28">
        <f>+Folha3!AD4+Folha3!AD7+Folha3!AD11+Folha3!AD14+Folha3!AD18+Folha3!AD21</f>
        <v>0</v>
      </c>
      <c r="AE13" s="28">
        <f>+Folha3!AE4+Folha3!AE7+Folha3!AE11+Folha3!AE14+Folha3!AE18+Folha3!AE21</f>
        <v>0</v>
      </c>
      <c r="AF13" s="28">
        <f>+Folha3!AF4+Folha3!AF7+Folha3!AF11+Folha3!AF14+Folha3!AF18+Folha3!AF21</f>
        <v>0</v>
      </c>
      <c r="AG13" s="28">
        <f>+Folha3!AG4+Folha3!AG7+Folha3!AG11+Folha3!AG14+Folha3!AG18+Folha3!AG21</f>
        <v>0</v>
      </c>
      <c r="AH13" s="28">
        <f>+Folha3!AH4+Folha3!AH7+Folha3!AH11+Folha3!AH14+Folha3!AH18+Folha3!AH21</f>
        <v>0</v>
      </c>
      <c r="AI13" s="28">
        <f>+Folha3!AI4+Folha3!AI7+Folha3!AI11+Folha3!AI14+Folha3!AI18+Folha3!AI21</f>
        <v>0</v>
      </c>
      <c r="AJ13" s="28">
        <f>+Folha3!AJ4+Folha3!AJ7+Folha3!AJ11+Folha3!AJ14+Folha3!AJ18+Folha3!AJ21</f>
        <v>0</v>
      </c>
      <c r="AK13" s="28">
        <f>+Folha3!AK4+Folha3!AK7+Folha3!AK11+Folha3!AK14+Folha3!AK18+Folha3!AK21</f>
        <v>0</v>
      </c>
      <c r="AN13" s="28"/>
      <c r="AO13" s="28"/>
    </row>
    <row r="14" spans="2:41" x14ac:dyDescent="0.25">
      <c r="B14" s="52" t="s">
        <v>146</v>
      </c>
      <c r="C14" s="28">
        <f ca="1">+C12-C13</f>
        <v>0</v>
      </c>
      <c r="D14" s="28">
        <f t="shared" ref="D14:AK14" ca="1" si="2">+D12-D13</f>
        <v>0</v>
      </c>
      <c r="E14" s="28">
        <f t="shared" ca="1" si="2"/>
        <v>0</v>
      </c>
      <c r="F14" s="28">
        <f t="shared" ca="1" si="2"/>
        <v>0</v>
      </c>
      <c r="G14" s="28">
        <f t="shared" ca="1" si="2"/>
        <v>17.118156230455746</v>
      </c>
      <c r="H14" s="28">
        <f t="shared" ca="1" si="2"/>
        <v>23.717350673587319</v>
      </c>
      <c r="I14" s="28">
        <f t="shared" ca="1" si="2"/>
        <v>39.444890397822185</v>
      </c>
      <c r="J14" s="28">
        <f t="shared" ca="1" si="2"/>
        <v>89.624660762015452</v>
      </c>
      <c r="K14" s="28">
        <f t="shared" ca="1" si="2"/>
        <v>86.034990842586424</v>
      </c>
      <c r="L14" s="28">
        <f t="shared" ca="1" si="2"/>
        <v>137.21719177086885</v>
      </c>
      <c r="M14" s="28">
        <f t="shared" ca="1" si="2"/>
        <v>152.24362174369173</v>
      </c>
      <c r="N14" s="28">
        <f t="shared" ca="1" si="2"/>
        <v>202.16349513888252</v>
      </c>
      <c r="O14" s="28">
        <f t="shared" ca="1" si="2"/>
        <v>185.43842292137316</v>
      </c>
      <c r="P14" s="28">
        <f t="shared" ca="1" si="2"/>
        <v>308.39640097292545</v>
      </c>
      <c r="Q14" s="28">
        <f t="shared" ca="1" si="2"/>
        <v>248.29900635173982</v>
      </c>
      <c r="R14" s="28">
        <f t="shared" ca="1" si="2"/>
        <v>266.44782642293814</v>
      </c>
      <c r="S14" s="28">
        <f t="shared" ca="1" si="2"/>
        <v>255.25710413439134</v>
      </c>
      <c r="T14" s="28">
        <f t="shared" ca="1" si="2"/>
        <v>311.88874107153276</v>
      </c>
      <c r="U14" s="28">
        <f t="shared" ca="1" si="2"/>
        <v>315.02768341952486</v>
      </c>
      <c r="V14" s="28">
        <f t="shared" ca="1" si="2"/>
        <v>342.0159843692727</v>
      </c>
      <c r="W14" s="28">
        <f t="shared" ca="1" si="2"/>
        <v>317.00004984232686</v>
      </c>
      <c r="X14" s="28">
        <f t="shared" ca="1" si="2"/>
        <v>366.66315009980053</v>
      </c>
      <c r="Y14" s="28">
        <f t="shared" ca="1" si="2"/>
        <v>443.46814886723939</v>
      </c>
      <c r="Z14" s="28">
        <f t="shared" ca="1" si="2"/>
        <v>389.42523417187505</v>
      </c>
      <c r="AA14" s="28">
        <f t="shared" ca="1" si="2"/>
        <v>367.27114972756993</v>
      </c>
      <c r="AB14" s="28">
        <f t="shared" ca="1" si="2"/>
        <v>373.34572025996641</v>
      </c>
      <c r="AC14" s="28">
        <f t="shared" ca="1" si="2"/>
        <v>328.43470536455243</v>
      </c>
      <c r="AD14" s="28">
        <f t="shared" ca="1" si="2"/>
        <v>292.71904762511093</v>
      </c>
      <c r="AE14" s="28">
        <f t="shared" ca="1" si="2"/>
        <v>326.8886539951954</v>
      </c>
      <c r="AF14" s="28">
        <f t="shared" ca="1" si="2"/>
        <v>270.12073086261233</v>
      </c>
      <c r="AG14" s="28">
        <f t="shared" ca="1" si="2"/>
        <v>235.38905922408503</v>
      </c>
      <c r="AH14" s="28">
        <f t="shared" ca="1" si="2"/>
        <v>270.18161131130444</v>
      </c>
      <c r="AI14" s="28">
        <f t="shared" ca="1" si="2"/>
        <v>191.82166155381208</v>
      </c>
      <c r="AJ14" s="28">
        <f t="shared" ca="1" si="2"/>
        <v>251.93282147525673</v>
      </c>
      <c r="AK14" s="28">
        <f t="shared" ca="1" si="2"/>
        <v>169.99568839673145</v>
      </c>
      <c r="AN14" s="28"/>
      <c r="AO14" s="28"/>
    </row>
    <row r="15" spans="2:41" x14ac:dyDescent="0.25">
      <c r="B15" s="52" t="s">
        <v>85</v>
      </c>
      <c r="C15" s="28">
        <f ca="1">+C14*Folha0!D40</f>
        <v>0</v>
      </c>
      <c r="D15" s="28">
        <f ca="1">+D14*Folha0!E40</f>
        <v>0</v>
      </c>
      <c r="E15" s="28">
        <f ca="1">+E14*Folha0!F40</f>
        <v>0</v>
      </c>
      <c r="F15" s="28">
        <f ca="1">+F14*Folha0!G40</f>
        <v>0</v>
      </c>
      <c r="G15" s="28">
        <f ca="1">+G14*Folha0!H40</f>
        <v>5.1354468691367234</v>
      </c>
      <c r="H15" s="28">
        <f ca="1">+H14*Folha0!I40</f>
        <v>7.1152052020761953</v>
      </c>
      <c r="I15" s="28">
        <f ca="1">+I14*Folha0!J40</f>
        <v>11.833467119346656</v>
      </c>
      <c r="J15" s="28">
        <f ca="1">+J14*Folha0!K40</f>
        <v>26.887398228604635</v>
      </c>
      <c r="K15" s="28">
        <f ca="1">+K14*Folha0!L40</f>
        <v>25.810497252775928</v>
      </c>
      <c r="L15" s="28">
        <f ca="1">+L14*Folha0!M40</f>
        <v>41.165157531260654</v>
      </c>
      <c r="M15" s="28">
        <f ca="1">+M14*Folha0!N40</f>
        <v>45.673086523107521</v>
      </c>
      <c r="N15" s="28">
        <f ca="1">+N14*Folha0!O40</f>
        <v>60.649048541664754</v>
      </c>
      <c r="O15" s="28">
        <f ca="1">+O14*Folha0!P40</f>
        <v>55.631526876411947</v>
      </c>
      <c r="P15" s="28">
        <f ca="1">+P14*Folha0!Q40</f>
        <v>92.518920291877635</v>
      </c>
      <c r="Q15" s="28">
        <f ca="1">+Q14*Folha0!R40</f>
        <v>74.48970190552194</v>
      </c>
      <c r="R15" s="28">
        <f ca="1">+R14*Folha0!S40</f>
        <v>79.934347926881443</v>
      </c>
      <c r="S15" s="28">
        <f ca="1">+S14*Folha0!T40</f>
        <v>76.577131240317399</v>
      </c>
      <c r="T15" s="28">
        <f ca="1">+T14*Folha0!U40</f>
        <v>93.566622321459832</v>
      </c>
      <c r="U15" s="28">
        <f ca="1">+U14*Folha0!V40</f>
        <v>94.508305025857453</v>
      </c>
      <c r="V15" s="28">
        <f ca="1">+V14*Folha0!W40</f>
        <v>102.60479531078181</v>
      </c>
      <c r="W15" s="28">
        <f ca="1">+W14*Folha0!X40</f>
        <v>95.100014952698061</v>
      </c>
      <c r="X15" s="28">
        <f ca="1">+X14*Folha0!Y40</f>
        <v>109.99894502994016</v>
      </c>
      <c r="Y15" s="28">
        <f ca="1">+Y14*Folha0!Z40</f>
        <v>133.0404446601718</v>
      </c>
      <c r="Z15" s="28">
        <f ca="1">+Z14*Folha0!AA40</f>
        <v>116.82757025156251</v>
      </c>
      <c r="AA15" s="28">
        <f ca="1">+AA14*Folha0!AB40</f>
        <v>110.18134491827098</v>
      </c>
      <c r="AB15" s="28">
        <f ca="1">+AB14*Folha0!AC40</f>
        <v>112.00371607798992</v>
      </c>
      <c r="AC15" s="28">
        <f ca="1">+AC14*Folha0!AD40</f>
        <v>98.530411609365729</v>
      </c>
      <c r="AD15" s="28">
        <f ca="1">+AD14*Folha0!AE40</f>
        <v>87.815714287533282</v>
      </c>
      <c r="AE15" s="28">
        <f ca="1">+AE14*Folha0!AF40</f>
        <v>98.066596198558614</v>
      </c>
      <c r="AF15" s="28">
        <f ca="1">+AF14*Folha0!AG40</f>
        <v>81.036219258783703</v>
      </c>
      <c r="AG15" s="28">
        <f ca="1">+AG14*Folha0!AH40</f>
        <v>70.616717767225509</v>
      </c>
      <c r="AH15" s="28">
        <f ca="1">+AH14*Folha0!AI40</f>
        <v>81.054483393391322</v>
      </c>
      <c r="AI15" s="28">
        <f ca="1">+AI14*Folha0!AJ40</f>
        <v>57.546498466143625</v>
      </c>
      <c r="AJ15" s="28">
        <f ca="1">+AJ14*Folha0!AK40</f>
        <v>75.579846442577022</v>
      </c>
      <c r="AK15" s="28">
        <f ca="1">+AK14*Folha0!AL40</f>
        <v>50.998706519019436</v>
      </c>
      <c r="AL15" s="28"/>
      <c r="AM15" s="28"/>
      <c r="AN15" s="28"/>
      <c r="AO15" s="28"/>
    </row>
    <row r="16" spans="2:41" x14ac:dyDescent="0.25">
      <c r="B16" s="52" t="s">
        <v>144</v>
      </c>
      <c r="C16" s="28">
        <f ca="1">+C14-C15</f>
        <v>0</v>
      </c>
      <c r="D16" s="28">
        <f t="shared" ref="D16:AK16" ca="1" si="3">+D14-D15</f>
        <v>0</v>
      </c>
      <c r="E16" s="28">
        <f t="shared" ca="1" si="3"/>
        <v>0</v>
      </c>
      <c r="F16" s="28">
        <f t="shared" ca="1" si="3"/>
        <v>0</v>
      </c>
      <c r="G16" s="28">
        <f t="shared" ca="1" si="3"/>
        <v>11.982709361319023</v>
      </c>
      <c r="H16" s="28">
        <f t="shared" ca="1" si="3"/>
        <v>16.602145471511122</v>
      </c>
      <c r="I16" s="28">
        <f t="shared" ca="1" si="3"/>
        <v>27.611423278475527</v>
      </c>
      <c r="J16" s="28">
        <f t="shared" ca="1" si="3"/>
        <v>62.737262533410814</v>
      </c>
      <c r="K16" s="28">
        <f t="shared" ca="1" si="3"/>
        <v>60.224493589810493</v>
      </c>
      <c r="L16" s="28">
        <f t="shared" ca="1" si="3"/>
        <v>96.05203423960819</v>
      </c>
      <c r="M16" s="28">
        <f t="shared" ca="1" si="3"/>
        <v>106.57053522058422</v>
      </c>
      <c r="N16" s="28">
        <f t="shared" ca="1" si="3"/>
        <v>141.51444659721778</v>
      </c>
      <c r="O16" s="28">
        <f t="shared" ca="1" si="3"/>
        <v>129.80689604496121</v>
      </c>
      <c r="P16" s="28">
        <f t="shared" ca="1" si="3"/>
        <v>215.87748068104781</v>
      </c>
      <c r="Q16" s="28">
        <f t="shared" ca="1" si="3"/>
        <v>173.80930444621788</v>
      </c>
      <c r="R16" s="28">
        <f t="shared" ca="1" si="3"/>
        <v>186.51347849605668</v>
      </c>
      <c r="S16" s="28">
        <f t="shared" ca="1" si="3"/>
        <v>178.67997289407396</v>
      </c>
      <c r="T16" s="28">
        <f t="shared" ca="1" si="3"/>
        <v>218.32211875007295</v>
      </c>
      <c r="U16" s="28">
        <f t="shared" ca="1" si="3"/>
        <v>220.51937839366741</v>
      </c>
      <c r="V16" s="28">
        <f t="shared" ca="1" si="3"/>
        <v>239.41118905849089</v>
      </c>
      <c r="W16" s="28">
        <f t="shared" ca="1" si="3"/>
        <v>221.90003488962878</v>
      </c>
      <c r="X16" s="28">
        <f t="shared" ca="1" si="3"/>
        <v>256.66420506986037</v>
      </c>
      <c r="Y16" s="28">
        <f t="shared" ca="1" si="3"/>
        <v>310.42770420706756</v>
      </c>
      <c r="Z16" s="28">
        <f t="shared" ca="1" si="3"/>
        <v>272.59766392031253</v>
      </c>
      <c r="AA16" s="28">
        <f t="shared" ca="1" si="3"/>
        <v>257.08980480929893</v>
      </c>
      <c r="AB16" s="28">
        <f t="shared" ca="1" si="3"/>
        <v>261.34200418197651</v>
      </c>
      <c r="AC16" s="28">
        <f t="shared" ca="1" si="3"/>
        <v>229.9042937551867</v>
      </c>
      <c r="AD16" s="28">
        <f t="shared" ca="1" si="3"/>
        <v>204.90333333757764</v>
      </c>
      <c r="AE16" s="28">
        <f t="shared" ca="1" si="3"/>
        <v>228.82205779663678</v>
      </c>
      <c r="AF16" s="28">
        <f t="shared" ca="1" si="3"/>
        <v>189.08451160382862</v>
      </c>
      <c r="AG16" s="28">
        <f t="shared" ca="1" si="3"/>
        <v>164.77234145685952</v>
      </c>
      <c r="AH16" s="28">
        <f t="shared" ca="1" si="3"/>
        <v>189.12712791791313</v>
      </c>
      <c r="AI16" s="28">
        <f t="shared" ca="1" si="3"/>
        <v>134.27516308766846</v>
      </c>
      <c r="AJ16" s="28">
        <f t="shared" ca="1" si="3"/>
        <v>176.35297503267969</v>
      </c>
      <c r="AK16" s="28">
        <f t="shared" ca="1" si="3"/>
        <v>118.99698187771202</v>
      </c>
      <c r="AL16" s="28"/>
      <c r="AM16" s="28"/>
      <c r="AN16" s="28"/>
      <c r="AO16" s="28"/>
    </row>
    <row r="17" spans="2:41" x14ac:dyDescent="0.25">
      <c r="B17" s="52" t="s">
        <v>87</v>
      </c>
      <c r="C17" s="28">
        <f ca="1">+C12*(1-Folha0!C40)-Folha0!$C$30*Folha1!C25</f>
        <v>-2.2546700123329368</v>
      </c>
      <c r="D17" s="28">
        <f ca="1">+D12*(1-Folha0!D40)-Folha0!$C$30*Folha1!D25</f>
        <v>-7.4872458045562214</v>
      </c>
      <c r="E17" s="28">
        <f ca="1">+E12*(1-Folha0!E40)-Folha0!$C$30*Folha1!E25</f>
        <v>-30.066530182714111</v>
      </c>
      <c r="F17" s="28">
        <f ca="1">+F12*(1-Folha0!F40)-Folha0!$C$30*Folha1!F25</f>
        <v>-50.260657495671119</v>
      </c>
      <c r="G17" s="28">
        <f ca="1">+G12*(1-Folha0!G40)-Folha0!$C$30*Folha1!G25</f>
        <v>-41.854098013000097</v>
      </c>
      <c r="H17" s="28">
        <f ca="1">+H12*(1-Folha0!H40)-Folha0!$C$30*Folha1!H25</f>
        <v>-34.879602302597867</v>
      </c>
      <c r="I17" s="28">
        <f ca="1">+I12*(1-Folha0!I40)-Folha0!$C$30*Folha1!I25</f>
        <v>-21.205971603833419</v>
      </c>
      <c r="J17" s="28">
        <f ca="1">+J12*(1-Folha0!J40)-Folha0!$C$30*Folha1!J25</f>
        <v>16.521994690419447</v>
      </c>
      <c r="K17" s="28">
        <f ca="1">+K12*(1-Folha0!K40)-Folha0!$C$30*Folha1!K25</f>
        <v>16.734506986933226</v>
      </c>
      <c r="L17" s="28">
        <f ca="1">+L12*(1-Folha0!L40)-Folha0!$C$30*Folha1!L25</f>
        <v>55.146830345801639</v>
      </c>
      <c r="M17" s="28">
        <f ca="1">+M12*(1-Folha0!M40)-Folha0!$C$30*Folha1!M25</f>
        <v>68.557368855207983</v>
      </c>
      <c r="N17" s="28">
        <f ca="1">+N12*(1-Folha0!N40)-Folha0!$C$30*Folha1!N25</f>
        <v>105.95868135108006</v>
      </c>
      <c r="O17" s="28">
        <f ca="1">+O12*(1-Folha0!O40)-Folha0!$C$30*Folha1!O25</f>
        <v>96.881781382490345</v>
      </c>
      <c r="P17" s="28">
        <f ca="1">+P12*(1-Folha0!P40)-Folha0!$C$30*Folha1!P25</f>
        <v>185.27902462433804</v>
      </c>
      <c r="Q17" s="28">
        <f ca="1">+Q12*(1-Folha0!Q40)-Folha0!$C$30*Folha1!Q25</f>
        <v>146.70979972209432</v>
      </c>
      <c r="R17" s="28">
        <f ca="1">+R12*(1-Folha0!R40)-Folha0!$C$30*Folha1!R25</f>
        <v>162.09007181438236</v>
      </c>
      <c r="S17" s="28">
        <f ca="1">+S12*(1-Folha0!S40)-Folha0!$C$30*Folha1!S25</f>
        <v>157.75688208512986</v>
      </c>
      <c r="T17" s="28">
        <f ca="1">+T12*(1-Folha0!T40)-Folha0!$C$30*Folha1!T25</f>
        <v>200.52791981912853</v>
      </c>
      <c r="U17" s="28">
        <f ca="1">+U12*(1-Folha0!U40)-Folha0!$C$30*Folha1!U25</f>
        <v>206.22808897387208</v>
      </c>
      <c r="V17" s="28">
        <f ca="1">+V12*(1-Folha0!V40)-Folha0!$C$30*Folha1!V25</f>
        <v>226.8370121242649</v>
      </c>
      <c r="W17" s="28">
        <f ca="1">+W12*(1-Folha0!W40)-Folha0!$C$30*Folha1!W25</f>
        <v>210.82189916297537</v>
      </c>
      <c r="X17" s="28">
        <f ca="1">+X12*(1-Folha0!X40)-Folha0!$C$30*Folha1!X25</f>
        <v>246.52640943055897</v>
      </c>
      <c r="Y17" s="28">
        <f ca="1">+Y12*(1-Folha0!Y40)-Folha0!$C$30*Folha1!Y25</f>
        <v>301.02275951766126</v>
      </c>
      <c r="Z17" s="28">
        <f ca="1">+Z12*(1-Folha0!Z40)-Folha0!$C$30*Folha1!Z25</f>
        <v>264.53047806455197</v>
      </c>
      <c r="AA17" s="28">
        <f ca="1">+AA12*(1-Folha0!AA40)-Folha0!$C$30*Folha1!AA25</f>
        <v>250.14516433944661</v>
      </c>
      <c r="AB17" s="28">
        <f ca="1">+AB12*(1-Folha0!AB40)-Folha0!$C$30*Folha1!AB25</f>
        <v>255.3125984688582</v>
      </c>
      <c r="AC17" s="28">
        <f ca="1">+AC12*(1-Folha0!AC40)-Folha0!$C$30*Folha1!AC25</f>
        <v>224.92013871255881</v>
      </c>
      <c r="AD17" s="28">
        <f ca="1">+AD12*(1-Folha0!AD40)-Folha0!$C$30*Folha1!AD25</f>
        <v>200.85425565056187</v>
      </c>
      <c r="AE17" s="28">
        <f ca="1">+AE12*(1-Folha0!AE40)-Folha0!$C$30*Folha1!AE25</f>
        <v>225.14717849041949</v>
      </c>
      <c r="AF17" s="28">
        <f ca="1">+AF12*(1-Folha0!AF40)-Folha0!$C$30*Folha1!AF25</f>
        <v>186.22164126667897</v>
      </c>
      <c r="AG17" s="28">
        <f ca="1">+AG12*(1-Folha0!AG40)-Folha0!$C$30*Folha1!AG25</f>
        <v>162.57365655198052</v>
      </c>
      <c r="AH17" s="28">
        <f ca="1">+AH12*(1-Folha0!AH40)-Folha0!$C$30*Folha1!AH25</f>
        <v>186.9875091399762</v>
      </c>
      <c r="AI17" s="28">
        <f ca="1">+AI12*(1-Folha0!AI40)-Folha0!$C$30*Folha1!AI25</f>
        <v>132.72431956584512</v>
      </c>
      <c r="AJ17" s="28">
        <f ca="1">+AJ12*(1-Folha0!AJ40)-Folha0!$C$30*Folha1!AJ25</f>
        <v>174.63023069174298</v>
      </c>
      <c r="AK17" s="28">
        <f ca="1">+AK12*(1-Folha0!AK40)-Folha0!$C$30*Folha1!AK25</f>
        <v>108.43504327899718</v>
      </c>
      <c r="AL17" s="28"/>
      <c r="AM17" s="28"/>
      <c r="AN17" s="28"/>
      <c r="AO17" s="28"/>
    </row>
    <row r="18" spans="2:41" x14ac:dyDescent="0.25">
      <c r="B18" s="5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2:41" x14ac:dyDescent="0.25">
      <c r="B19" s="52" t="s">
        <v>43</v>
      </c>
      <c r="C19" s="28">
        <f>+Folha0!D35+Folha0!D36-Folha0!D37-Folha0!D38</f>
        <v>0</v>
      </c>
      <c r="D19" s="28">
        <f>+Folha0!E35+Folha0!E36-Folha0!E37-Folha0!E38</f>
        <v>0</v>
      </c>
      <c r="E19" s="28">
        <f ca="1">+Folha0!F35+Folha0!F36-Folha0!F37-Folha0!F38</f>
        <v>0</v>
      </c>
      <c r="F19" s="28">
        <f ca="1">+Folha0!G35+Folha0!G36-Folha0!G37-Folha0!G38</f>
        <v>0</v>
      </c>
      <c r="G19" s="28">
        <f ca="1">+Folha0!H35+Folha0!H36-Folha0!H37+Folha0!H38</f>
        <v>4.644499193521427</v>
      </c>
      <c r="H19" s="28">
        <f ca="1">+Folha0!I35+Folha0!I36-Folha0!I37+Folha0!I38</f>
        <v>5.1815338547063527</v>
      </c>
      <c r="I19" s="28">
        <f ca="1">+Folha0!J35+Folha0!J36-Folha0!J37+Folha0!J38</f>
        <v>6.3050737660471743</v>
      </c>
      <c r="J19" s="28">
        <f ca="1">+Folha0!K35+Folha0!K36-Folha0!K37+Folha0!K38</f>
        <v>9.0677551126925184</v>
      </c>
      <c r="K19" s="28">
        <f ca="1">+Folha0!L35+Folha0!L36-Folha0!L37+Folha0!L38</f>
        <v>8.6792099470252868</v>
      </c>
      <c r="L19" s="28">
        <f ca="1">+Folha0!M35+Folha0!M36-Folha0!M37+Folha0!M38</f>
        <v>11.98256540118205</v>
      </c>
      <c r="M19" s="28">
        <f ca="1">+Folha0!N35+Folha0!N36-Folha0!N37+Folha0!N38</f>
        <v>12.8846121527405</v>
      </c>
      <c r="N19" s="28">
        <f ca="1">+Folha0!O35+Folha0!O36-Folha0!O37+Folha0!O38</f>
        <v>15.587218285164987</v>
      </c>
      <c r="O19" s="28">
        <f ca="1">+Folha0!P35+Folha0!P36-Folha0!P37+Folha0!P38</f>
        <v>14.710676773376896</v>
      </c>
      <c r="P19" s="28">
        <f ca="1">+Folha0!Q35+Folha0!Q36-Folha0!Q37+Folha0!Q38</f>
        <v>21.535273880966312</v>
      </c>
      <c r="Q19" s="28">
        <f ca="1">+Folha0!R35+Folha0!R36-Folha0!R37+Folha0!R38</f>
        <v>18.349145372452679</v>
      </c>
      <c r="R19" s="28">
        <f ca="1">+Folha0!S35+Folha0!S36-Folha0!S37+Folha0!S38</f>
        <v>19.142601668588878</v>
      </c>
      <c r="S19" s="28">
        <f ca="1">+Folha0!T35+Folha0!T36-Folha0!T37+Folha0!T38</f>
        <v>19.095149860949217</v>
      </c>
      <c r="T19" s="28">
        <f ca="1">+Folha0!U35+Folha0!U36-Folha0!U37+Folha0!U38</f>
        <v>21.946206753689594</v>
      </c>
      <c r="U19" s="28">
        <f ca="1">+Folha0!V35+Folha0!V36-Folha0!V37+Folha0!V38</f>
        <v>22.126944641509496</v>
      </c>
      <c r="V19" s="28">
        <f ca="1">+Folha0!W35+Folha0!W36-Folha0!W37+Folha0!W38</f>
        <v>22.409329297362845</v>
      </c>
      <c r="W19" s="28">
        <f ca="1">+Folha0!X35+Folha0!X36-Folha0!X37+Folha0!X38</f>
        <v>20.594153093845978</v>
      </c>
      <c r="X19" s="28">
        <f ca="1">+Folha0!Y35+Folha0!Y36-Folha0!Y37+Folha0!Y38</f>
        <v>23.420804894323304</v>
      </c>
      <c r="Y19" s="28">
        <f ca="1">+Folha0!Z35+Folha0!Z36-Folha0!Z37+Folha0!Z38</f>
        <v>27.59144853568198</v>
      </c>
      <c r="Z19" s="28">
        <f ca="1">+Folha0!AA35+Folha0!AA36-Folha0!AA37+Folha0!AA38</f>
        <v>25.001179364298295</v>
      </c>
      <c r="AA19" s="28">
        <f ca="1">+Folha0!AB35+Folha0!AB36-Folha0!AB37+Folha0!AB38</f>
        <v>23.675776129749185</v>
      </c>
      <c r="AB19" s="28">
        <f ca="1">+Folha0!AC35+Folha0!AC36-Folha0!AC37+Folha0!AC38</f>
        <v>23.629520430990723</v>
      </c>
      <c r="AC19" s="28">
        <f ca="1">+Folha0!AD35+Folha0!AD36-Folha0!AD37+Folha0!AD38</f>
        <v>21.480965554387964</v>
      </c>
      <c r="AD19" s="28">
        <f ca="1">+Folha0!AE35+Folha0!AE36-Folha0!AE37+Folha0!AE38</f>
        <v>19.408807469531617</v>
      </c>
      <c r="AE19" s="28">
        <f ca="1">+Folha0!AF35+Folha0!AF36-Folha0!AF37+Folha0!AF38</f>
        <v>21.728636818643331</v>
      </c>
      <c r="AF19" s="28">
        <f ca="1">+Folha0!AG35+Folha0!AG36-Folha0!AG37+Folha0!AG38</f>
        <v>18.683185739306214</v>
      </c>
      <c r="AG19" s="28">
        <f ca="1">+Folha0!AH35+Folha0!AH36-Folha0!AH37+Folha0!AH38</f>
        <v>16.177130622607493</v>
      </c>
      <c r="AH19" s="28">
        <f ca="1">+Folha0!AI35+Folha0!AI36-Folha0!AI37+Folha0!AI38</f>
        <v>18.437576653725586</v>
      </c>
      <c r="AI19" s="28">
        <f ca="1">+Folha0!AJ35+Folha0!AJ36-Folha0!AJ37+Folha0!AJ38</f>
        <v>14.524011373898681</v>
      </c>
      <c r="AJ19" s="28">
        <f ca="1">+Folha0!AK35+Folha0!AK36-Folha0!AK37+Folha0!AK38</f>
        <v>17.22744340936703</v>
      </c>
      <c r="AK19" s="28"/>
      <c r="AL19" s="28"/>
      <c r="AM19" s="28"/>
      <c r="AN19" s="28"/>
      <c r="AO19" s="28"/>
    </row>
    <row r="20" spans="2:41" x14ac:dyDescent="0.25">
      <c r="B20" s="52"/>
    </row>
    <row r="21" spans="2:41" x14ac:dyDescent="0.25">
      <c r="B21" s="52" t="s">
        <v>44</v>
      </c>
      <c r="C21" s="28">
        <f>+C19</f>
        <v>0</v>
      </c>
      <c r="D21" s="28">
        <f t="shared" ref="D21:AJ21" si="4">+D19-C19</f>
        <v>0</v>
      </c>
      <c r="E21" s="28">
        <f t="shared" ca="1" si="4"/>
        <v>0</v>
      </c>
      <c r="F21" s="28">
        <f t="shared" ca="1" si="4"/>
        <v>0</v>
      </c>
      <c r="G21" s="28">
        <f t="shared" ca="1" si="4"/>
        <v>4.644499193521427</v>
      </c>
      <c r="H21" s="28">
        <f t="shared" ca="1" si="4"/>
        <v>0.53703466118492571</v>
      </c>
      <c r="I21" s="28">
        <f t="shared" ca="1" si="4"/>
        <v>1.1235399113408215</v>
      </c>
      <c r="J21" s="28">
        <f t="shared" ca="1" si="4"/>
        <v>2.7626813466453441</v>
      </c>
      <c r="K21" s="28">
        <f t="shared" ca="1" si="4"/>
        <v>-0.38854516566723163</v>
      </c>
      <c r="L21" s="28">
        <f t="shared" ca="1" si="4"/>
        <v>3.3033554541567636</v>
      </c>
      <c r="M21" s="28">
        <f t="shared" ca="1" si="4"/>
        <v>0.9020467515584496</v>
      </c>
      <c r="N21" s="28">
        <f t="shared" ca="1" si="4"/>
        <v>2.7026061324244868</v>
      </c>
      <c r="O21" s="28">
        <f t="shared" ca="1" si="4"/>
        <v>-0.87654151178809059</v>
      </c>
      <c r="P21" s="28">
        <f t="shared" ca="1" si="4"/>
        <v>6.8245971075894154</v>
      </c>
      <c r="Q21" s="28">
        <f t="shared" ca="1" si="4"/>
        <v>-3.1861285085136331</v>
      </c>
      <c r="R21" s="28">
        <f t="shared" ca="1" si="4"/>
        <v>0.79345629613619906</v>
      </c>
      <c r="S21" s="28">
        <f t="shared" ca="1" si="4"/>
        <v>-4.7451807639660615E-2</v>
      </c>
      <c r="T21" s="28">
        <f t="shared" ca="1" si="4"/>
        <v>2.8510568927403774</v>
      </c>
      <c r="U21" s="28">
        <f t="shared" ca="1" si="4"/>
        <v>0.18073788781990174</v>
      </c>
      <c r="V21" s="28">
        <f t="shared" ca="1" si="4"/>
        <v>0.28238465585334893</v>
      </c>
      <c r="W21" s="28">
        <f t="shared" ca="1" si="4"/>
        <v>-1.8151762035168666</v>
      </c>
      <c r="X21" s="28">
        <f t="shared" ca="1" si="4"/>
        <v>2.8266518004773253</v>
      </c>
      <c r="Y21" s="28">
        <f t="shared" ca="1" si="4"/>
        <v>4.1706436413586765</v>
      </c>
      <c r="Z21" s="28">
        <f t="shared" ca="1" si="4"/>
        <v>-2.5902691713836852</v>
      </c>
      <c r="AA21" s="28">
        <f t="shared" ca="1" si="4"/>
        <v>-1.3254032345491105</v>
      </c>
      <c r="AB21" s="28">
        <f t="shared" ca="1" si="4"/>
        <v>-4.625569875846125E-2</v>
      </c>
      <c r="AC21" s="28">
        <f t="shared" ca="1" si="4"/>
        <v>-2.1485548766027591</v>
      </c>
      <c r="AD21" s="28">
        <f t="shared" ca="1" si="4"/>
        <v>-2.0721580848563477</v>
      </c>
      <c r="AE21" s="28">
        <f t="shared" ca="1" si="4"/>
        <v>2.3198293491117141</v>
      </c>
      <c r="AF21" s="28">
        <f t="shared" ca="1" si="4"/>
        <v>-3.0454510793371163</v>
      </c>
      <c r="AG21" s="28">
        <f t="shared" ca="1" si="4"/>
        <v>-2.5060551166987217</v>
      </c>
      <c r="AH21" s="28">
        <f t="shared" ca="1" si="4"/>
        <v>2.2604460311180929</v>
      </c>
      <c r="AI21" s="28">
        <f t="shared" ca="1" si="4"/>
        <v>-3.9135652798269049</v>
      </c>
      <c r="AJ21" s="28">
        <f t="shared" ca="1" si="4"/>
        <v>2.7034320354683494</v>
      </c>
      <c r="AK21" s="28">
        <f ca="1">-SUM(C21:AJ21)</f>
        <v>-17.22744340936703</v>
      </c>
    </row>
    <row r="22" spans="2:41" x14ac:dyDescent="0.25">
      <c r="B22" s="5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8"/>
      <c r="AM22" s="8"/>
      <c r="AN22" s="8"/>
      <c r="AO22" s="8"/>
    </row>
    <row r="23" spans="2:41" x14ac:dyDescent="0.25">
      <c r="B23" s="52" t="s">
        <v>121</v>
      </c>
      <c r="C23" s="28">
        <f ca="1">+(Folha0!D23*Folha0!$C$24+RAND()*Folha0!D23*(Folha0!$C$25-Folha0!$C$24))*Folha0!D5</f>
        <v>22.546700123329366</v>
      </c>
      <c r="D23" s="28">
        <f ca="1">+(Folha0!E23*Folha0!$C$24+RAND()*Folha0!E23*(Folha0!$C$25-Folha0!$C$24))*Folha0!E5</f>
        <v>52.325757922232853</v>
      </c>
      <c r="E23" s="28">
        <f ca="1">+(Folha0!F23*Folha0!$C$24+RAND()*Folha0!F23*(Folha0!$C$25-Folha0!$C$24))*Folha0!F5</f>
        <v>225.79284378157888</v>
      </c>
      <c r="F23" s="28">
        <f ca="1">+(Folha0!G23*Folha0!$C$24+RAND()*Folha0!G23*(Folha0!$C$25-Folha0!$C$24))*Folha0!G5</f>
        <v>201.94127312957005</v>
      </c>
      <c r="G23" s="28">
        <f ca="1">+(Folha0!H23*Folha0!$C$24+RAND()*Folha0!H23*(Folha0!$C$25-Folha0!$C$24))*Folha0!H5</f>
        <v>64.624104590072676</v>
      </c>
      <c r="H23" s="28">
        <f ca="1">+(Folha0!I23*Folha0!$C$24+RAND()*Folha0!I23*(Folha0!$C$25-Folha0!$C$24))*Folha0!I5</f>
        <v>13.727747973165954</v>
      </c>
      <c r="I23" s="28">
        <f ca="1">+(Folha0!J23*Folha0!$C$24+RAND()*Folha0!J23*(Folha0!$C$25-Folha0!$C$24))*Folha0!J5</f>
        <v>10.96349300532205</v>
      </c>
      <c r="J23" s="28">
        <f ca="1">+(Folha0!K23*Folha0!$C$24+RAND()*Folha0!K23*(Folha0!$C$25-Folha0!$C$24))*Folha0!K5</f>
        <v>10.677509628530283</v>
      </c>
      <c r="K23" s="28">
        <f ca="1">+(Folha0!L23*Folha0!$C$24+RAND()*Folha0!L23*(Folha0!$C$25-Folha0!$C$24))*Folha0!L5</f>
        <v>13.309028108113059</v>
      </c>
      <c r="L23" s="28">
        <f ca="1">+(Folha0!M23*Folha0!$C$24+RAND()*Folha0!M23*(Folha0!$C$25-Folha0!$C$24))*Folha0!M5</f>
        <v>11.909381339263733</v>
      </c>
      <c r="M23" s="28">
        <f ca="1">+(Folha0!N23*Folha0!$C$24+RAND()*Folha0!N23*(Folha0!$C$25-Folha0!$C$24))*Folha0!N5</f>
        <v>12.032100604216756</v>
      </c>
      <c r="N23" s="28">
        <f ca="1">+(Folha0!O23*Folha0!$C$24+RAND()*Folha0!O23*(Folha0!$C$25-Folha0!$C$24))*Folha0!O5</f>
        <v>15.38004535555007</v>
      </c>
      <c r="O23" s="28">
        <f ca="1">+(Folha0!P23*Folha0!$C$24+RAND()*Folha0!P23*(Folha0!$C$25-Folha0!$C$24))*Folha0!P5</f>
        <v>18.25203471251605</v>
      </c>
      <c r="P23" s="28">
        <f ca="1">+(Folha0!Q23*Folha0!$C$24+RAND()*Folha0!Q23*(Folha0!$C$25-Folha0!$C$24))*Folha0!Q5</f>
        <v>14.807618186363793</v>
      </c>
      <c r="Q23" s="28">
        <f ca="1">+(Folha0!R23*Folha0!$C$24+RAND()*Folha0!R23*(Folha0!$C$25-Folha0!$C$24))*Folha0!R5</f>
        <v>14.082591079972948</v>
      </c>
      <c r="R23" s="28">
        <f ca="1">+(Folha0!S23*Folha0!$C$24+RAND()*Folha0!S23*(Folha0!$C$25-Folha0!$C$24))*Folha0!S5</f>
        <v>19.270378582024907</v>
      </c>
      <c r="S23" s="28">
        <f ca="1">+(Folha0!T23*Folha0!$C$24+RAND()*Folha0!T23*(Folha0!$C$25-Folha0!$C$24))*Folha0!T5</f>
        <v>13.153800288458756</v>
      </c>
      <c r="T23" s="28">
        <f ca="1">+(Folha0!U23*Folha0!$C$24+RAND()*Folha0!U23*(Folha0!$C$25-Folha0!$C$24))*Folha0!U5</f>
        <v>14.846451554614816</v>
      </c>
      <c r="U23" s="28">
        <f ca="1">+(Folha0!V23*Folha0!$C$24+RAND()*Folha0!V23*(Folha0!$C$25-Folha0!$C$24))*Folha0!V5</f>
        <v>14.766357665015882</v>
      </c>
      <c r="V23" s="28">
        <f ca="1">+(Folha0!W23*Folha0!$C$24+RAND()*Folha0!W23*(Folha0!$C$25-Folha0!$C$24))*Folha0!W5</f>
        <v>0</v>
      </c>
      <c r="W23" s="28">
        <f ca="1">+(Folha0!X23*Folha0!$C$24+RAND()*Folha0!X23*(Folha0!$C$25-Folha0!$C$24))*Folha0!X5</f>
        <v>0</v>
      </c>
      <c r="X23" s="28">
        <f ca="1">+(Folha0!Y23*Folha0!$C$24+RAND()*Folha0!Y23*(Folha0!$C$25-Folha0!$C$24))*Folha0!Y5</f>
        <v>0</v>
      </c>
      <c r="Y23" s="28">
        <f ca="1">+(Folha0!Z23*Folha0!$C$24+RAND()*Folha0!Z23*(Folha0!$C$25-Folha0!$C$24))*Folha0!Z5</f>
        <v>0</v>
      </c>
      <c r="Z23" s="28">
        <f ca="1">+(Folha0!AA23*Folha0!$C$24+RAND()*Folha0!AA23*(Folha0!$C$25-Folha0!$C$24))*Folha0!AA5</f>
        <v>0</v>
      </c>
      <c r="AA23" s="28">
        <f ca="1">+(Folha0!AB23*Folha0!$C$24+RAND()*Folha0!AB23*(Folha0!$C$25-Folha0!$C$24))*Folha0!AB5</f>
        <v>0</v>
      </c>
      <c r="AB23" s="28">
        <f ca="1">+(Folha0!AC23*Folha0!$C$24+RAND()*Folha0!AC23*(Folha0!$C$25-Folha0!$C$24))*Folha0!AC5</f>
        <v>0</v>
      </c>
      <c r="AC23" s="28">
        <f ca="1">+(Folha0!AD23*Folha0!$C$24+RAND()*Folha0!AD23*(Folha0!$C$25-Folha0!$C$24))*Folha0!AD5</f>
        <v>0</v>
      </c>
      <c r="AD23" s="28">
        <f ca="1">+(Folha0!AE23*Folha0!$C$24+RAND()*Folha0!AE23*(Folha0!$C$25-Folha0!$C$24))*Folha0!AE5</f>
        <v>0</v>
      </c>
      <c r="AE23" s="28">
        <f ca="1">+(Folha0!AF23*Folha0!$C$24+RAND()*Folha0!AF23*(Folha0!$C$25-Folha0!$C$24))*Folha0!AF5</f>
        <v>0</v>
      </c>
      <c r="AF23" s="28">
        <f ca="1">+(Folha0!AG23*Folha0!$C$24+RAND()*Folha0!AG23*(Folha0!$C$25-Folha0!$C$24))*Folha0!AG5</f>
        <v>0</v>
      </c>
      <c r="AG23" s="28">
        <f ca="1">+(Folha0!AH23*Folha0!$C$24+RAND()*Folha0!AH23*(Folha0!$C$25-Folha0!$C$24))*Folha0!AH5</f>
        <v>0</v>
      </c>
      <c r="AH23" s="28">
        <f ca="1">+(Folha0!AI23*Folha0!$C$24+RAND()*Folha0!AI23*(Folha0!$C$25-Folha0!$C$24))*Folha0!AI5</f>
        <v>0</v>
      </c>
      <c r="AI23" s="28">
        <f ca="1">+(Folha0!AJ23*Folha0!$C$24+RAND()*Folha0!AJ23*(Folha0!$C$25-Folha0!$C$24))*Folha0!AJ5</f>
        <v>0</v>
      </c>
      <c r="AJ23" s="28">
        <f ca="1">+(Folha0!AK23*Folha0!$C$24+RAND()*Folha0!AK23*(Folha0!$C$25-Folha0!$C$24))*Folha0!AK5</f>
        <v>0</v>
      </c>
      <c r="AK23" s="28">
        <f ca="1">+(Folha0!AL23*Folha0!$C$24+RAND()*Folha0!AL23*(Folha0!$C$25-Folha0!$C$24))*Folha0!AL5</f>
        <v>105.61938598714795</v>
      </c>
      <c r="AL23" s="8"/>
      <c r="AM23" s="8"/>
      <c r="AN23" s="8"/>
      <c r="AO23" s="8"/>
    </row>
    <row r="24" spans="2:41" x14ac:dyDescent="0.25">
      <c r="B24" s="52" t="s">
        <v>86</v>
      </c>
      <c r="C24" s="28">
        <f ca="1">+C23+C21</f>
        <v>22.546700123329366</v>
      </c>
      <c r="D24" s="28">
        <f t="shared" ref="D24:AK24" ca="1" si="5">+D23+D21</f>
        <v>52.325757922232853</v>
      </c>
      <c r="E24" s="28">
        <f t="shared" ca="1" si="5"/>
        <v>225.79284378157888</v>
      </c>
      <c r="F24" s="28">
        <f t="shared" ca="1" si="5"/>
        <v>201.94127312957005</v>
      </c>
      <c r="G24" s="28">
        <f t="shared" ca="1" si="5"/>
        <v>69.268603783594102</v>
      </c>
      <c r="H24" s="28">
        <f t="shared" ca="1" si="5"/>
        <v>14.26478263435088</v>
      </c>
      <c r="I24" s="28">
        <f t="shared" ca="1" si="5"/>
        <v>12.087032916662871</v>
      </c>
      <c r="J24" s="28">
        <f t="shared" ca="1" si="5"/>
        <v>13.440190975175627</v>
      </c>
      <c r="K24" s="28">
        <f t="shared" ca="1" si="5"/>
        <v>12.920482942445828</v>
      </c>
      <c r="L24" s="28">
        <f t="shared" ca="1" si="5"/>
        <v>15.212736793420497</v>
      </c>
      <c r="M24" s="28">
        <f t="shared" ca="1" si="5"/>
        <v>12.934147355775206</v>
      </c>
      <c r="N24" s="28">
        <f t="shared" ca="1" si="5"/>
        <v>18.082651487974559</v>
      </c>
      <c r="O24" s="28">
        <f t="shared" ca="1" si="5"/>
        <v>17.375493200727959</v>
      </c>
      <c r="P24" s="28">
        <f t="shared" ca="1" si="5"/>
        <v>21.632215293953209</v>
      </c>
      <c r="Q24" s="28">
        <f t="shared" ca="1" si="5"/>
        <v>10.896462571459315</v>
      </c>
      <c r="R24" s="28">
        <f t="shared" ca="1" si="5"/>
        <v>20.063834878161106</v>
      </c>
      <c r="S24" s="28">
        <f t="shared" ca="1" si="5"/>
        <v>13.106348480819095</v>
      </c>
      <c r="T24" s="28">
        <f t="shared" ca="1" si="5"/>
        <v>17.697508447355194</v>
      </c>
      <c r="U24" s="28">
        <f t="shared" ca="1" si="5"/>
        <v>14.947095552835783</v>
      </c>
      <c r="V24" s="28">
        <f t="shared" ca="1" si="5"/>
        <v>0.28238465585334893</v>
      </c>
      <c r="W24" s="28">
        <f t="shared" ca="1" si="5"/>
        <v>-1.8151762035168666</v>
      </c>
      <c r="X24" s="28">
        <f t="shared" ca="1" si="5"/>
        <v>2.8266518004773253</v>
      </c>
      <c r="Y24" s="28">
        <f t="shared" ca="1" si="5"/>
        <v>4.1706436413586765</v>
      </c>
      <c r="Z24" s="28">
        <f t="shared" ca="1" si="5"/>
        <v>-2.5902691713836852</v>
      </c>
      <c r="AA24" s="28">
        <f t="shared" ca="1" si="5"/>
        <v>-1.3254032345491105</v>
      </c>
      <c r="AB24" s="28">
        <f t="shared" ca="1" si="5"/>
        <v>-4.625569875846125E-2</v>
      </c>
      <c r="AC24" s="28">
        <f t="shared" ca="1" si="5"/>
        <v>-2.1485548766027591</v>
      </c>
      <c r="AD24" s="28">
        <f t="shared" ca="1" si="5"/>
        <v>-2.0721580848563477</v>
      </c>
      <c r="AE24" s="28">
        <f t="shared" ca="1" si="5"/>
        <v>2.3198293491117141</v>
      </c>
      <c r="AF24" s="28">
        <f t="shared" ca="1" si="5"/>
        <v>-3.0454510793371163</v>
      </c>
      <c r="AG24" s="28">
        <f t="shared" ca="1" si="5"/>
        <v>-2.5060551166987217</v>
      </c>
      <c r="AH24" s="28">
        <f t="shared" ca="1" si="5"/>
        <v>2.2604460311180929</v>
      </c>
      <c r="AI24" s="28">
        <f t="shared" ca="1" si="5"/>
        <v>-3.9135652798269049</v>
      </c>
      <c r="AJ24" s="28">
        <f t="shared" ca="1" si="5"/>
        <v>2.7034320354683494</v>
      </c>
      <c r="AK24" s="28">
        <f t="shared" ca="1" si="5"/>
        <v>88.391942577780924</v>
      </c>
      <c r="AL24" s="8"/>
      <c r="AM24" s="8"/>
      <c r="AN24" s="8"/>
      <c r="AO24" s="8"/>
    </row>
    <row r="25" spans="2:41" x14ac:dyDescent="0.25">
      <c r="B25" s="52" t="s">
        <v>95</v>
      </c>
      <c r="C25" s="28">
        <f ca="1">+C24-C11</f>
        <v>22.546700123329366</v>
      </c>
      <c r="D25" s="28">
        <f t="shared" ref="D25:AK25" ca="1" si="6">+C25+D24-D11</f>
        <v>74.872458045562212</v>
      </c>
      <c r="E25" s="28">
        <f t="shared" ca="1" si="6"/>
        <v>300.66530182714109</v>
      </c>
      <c r="F25" s="28">
        <f t="shared" ca="1" si="6"/>
        <v>502.60657495671114</v>
      </c>
      <c r="G25" s="28">
        <f t="shared" ca="1" si="6"/>
        <v>538.36807374319119</v>
      </c>
      <c r="H25" s="28">
        <f t="shared" ca="1" si="6"/>
        <v>514.81747774108987</v>
      </c>
      <c r="I25" s="28">
        <f t="shared" ca="1" si="6"/>
        <v>488.17394882308946</v>
      </c>
      <c r="J25" s="28">
        <f t="shared" ca="1" si="6"/>
        <v>462.15267842991364</v>
      </c>
      <c r="K25" s="28">
        <f t="shared" ca="1" si="6"/>
        <v>434.89986602877264</v>
      </c>
      <c r="L25" s="28">
        <f t="shared" ca="1" si="6"/>
        <v>409.05203893806549</v>
      </c>
      <c r="M25" s="28">
        <f t="shared" ca="1" si="6"/>
        <v>380.13166365376213</v>
      </c>
      <c r="N25" s="28">
        <f t="shared" ca="1" si="6"/>
        <v>355.55765246137696</v>
      </c>
      <c r="O25" s="28">
        <f t="shared" ca="1" si="6"/>
        <v>329.25114662470855</v>
      </c>
      <c r="P25" s="28">
        <f t="shared" ca="1" si="6"/>
        <v>305.98456056709767</v>
      </c>
      <c r="Q25" s="28">
        <f t="shared" ca="1" si="6"/>
        <v>270.99504724123528</v>
      </c>
      <c r="R25" s="28">
        <f t="shared" ca="1" si="6"/>
        <v>244.23406681674317</v>
      </c>
      <c r="S25" s="28">
        <f t="shared" ca="1" si="6"/>
        <v>209.23090808944073</v>
      </c>
      <c r="T25" s="28">
        <f t="shared" ca="1" si="6"/>
        <v>177.94198930944378</v>
      </c>
      <c r="U25" s="28">
        <f t="shared" ca="1" si="6"/>
        <v>142.91289419795311</v>
      </c>
      <c r="V25" s="28">
        <f t="shared" ca="1" si="6"/>
        <v>125.74176934225967</v>
      </c>
      <c r="W25" s="28">
        <f t="shared" ca="1" si="6"/>
        <v>110.7813572665342</v>
      </c>
      <c r="X25" s="28">
        <f t="shared" ca="1" si="6"/>
        <v>101.37795639301399</v>
      </c>
      <c r="Y25" s="28">
        <f t="shared" ca="1" si="6"/>
        <v>94.049446894063266</v>
      </c>
      <c r="Z25" s="28">
        <f t="shared" ca="1" si="6"/>
        <v>80.671858557605532</v>
      </c>
      <c r="AA25" s="28">
        <f t="shared" ca="1" si="6"/>
        <v>69.446404698523239</v>
      </c>
      <c r="AB25" s="28">
        <f t="shared" ca="1" si="6"/>
        <v>60.294057131182512</v>
      </c>
      <c r="AC25" s="28">
        <f t="shared" ca="1" si="6"/>
        <v>49.841550426278602</v>
      </c>
      <c r="AD25" s="28">
        <f t="shared" ca="1" si="6"/>
        <v>40.490776870157774</v>
      </c>
      <c r="AE25" s="28">
        <f t="shared" ca="1" si="6"/>
        <v>36.748793062172751</v>
      </c>
      <c r="AF25" s="28">
        <f t="shared" ca="1" si="6"/>
        <v>28.628703371496485</v>
      </c>
      <c r="AG25" s="28">
        <f t="shared" ca="1" si="6"/>
        <v>21.986849048790141</v>
      </c>
      <c r="AH25" s="28">
        <f t="shared" ca="1" si="6"/>
        <v>21.396187779368937</v>
      </c>
      <c r="AI25" s="28">
        <f t="shared" ca="1" si="6"/>
        <v>15.508435218233318</v>
      </c>
      <c r="AJ25" s="28">
        <f t="shared" ca="1" si="6"/>
        <v>17.227443409367279</v>
      </c>
      <c r="AK25" s="28">
        <f t="shared" ca="1" si="6"/>
        <v>105.61938598714821</v>
      </c>
      <c r="AL25" s="8"/>
      <c r="AM25" s="8"/>
      <c r="AN25" s="8"/>
      <c r="AO25" s="8"/>
    </row>
    <row r="26" spans="2:41" x14ac:dyDescent="0.25">
      <c r="B26" s="52"/>
      <c r="AL26" s="8"/>
      <c r="AM26" s="8"/>
      <c r="AN26" s="8"/>
      <c r="AO26" s="8"/>
    </row>
    <row r="27" spans="2:41" x14ac:dyDescent="0.25">
      <c r="B27" s="52" t="s">
        <v>125</v>
      </c>
      <c r="C27" s="28">
        <f ca="1">+C12*(1-Folha0!D40)+C11-C24</f>
        <v>-22.546700123329366</v>
      </c>
      <c r="D27" s="28">
        <f ca="1">+D12*(1-Folha0!E40)+D11-D24</f>
        <v>-52.325757922232853</v>
      </c>
      <c r="E27" s="28">
        <f ca="1">+E12*(1-Folha0!F40)+E11-E24</f>
        <v>-225.79284378157888</v>
      </c>
      <c r="F27" s="28">
        <f ca="1">+F12*(1-Folha0!G40)+F11-F24</f>
        <v>-201.94127312957005</v>
      </c>
      <c r="G27" s="28">
        <f ca="1">+G12*(1-Folha0!H40)+G11-G24</f>
        <v>-23.778789425161008</v>
      </c>
      <c r="H27" s="28">
        <f ca="1">+H12*(1-Folha0!I40)+H11-H24</f>
        <v>40.152741473612494</v>
      </c>
      <c r="I27" s="28">
        <f ca="1">+I12*(1-Folha0!J40)+I11-I24</f>
        <v>54.254952196475962</v>
      </c>
      <c r="J27" s="28">
        <f ca="1">+J12*(1-Folha0!K40)+J11-J24</f>
        <v>88.758532926586639</v>
      </c>
      <c r="K27" s="28">
        <f ca="1">+K12*(1-Folha0!L40)+K11-K24</f>
        <v>87.477305990951464</v>
      </c>
      <c r="L27" s="28">
        <f ca="1">+L12*(1-Folha0!M40)+L11-L24</f>
        <v>121.89986133031536</v>
      </c>
      <c r="M27" s="28">
        <f ca="1">+M12*(1-Folha0!N40)+M11-M24</f>
        <v>135.49091050488761</v>
      </c>
      <c r="N27" s="28">
        <f ca="1">+N12*(1-Folha0!O40)+N11-N24</f>
        <v>166.0884577896029</v>
      </c>
      <c r="O27" s="28">
        <f ca="1">+O12*(1-Folha0!P40)+O11-O24</f>
        <v>156.11340188162964</v>
      </c>
      <c r="P27" s="28">
        <f ca="1">+P12*(1-Folha0!Q40)+P11-P24</f>
        <v>239.14406673865869</v>
      </c>
      <c r="Q27" s="28">
        <f ca="1">+Q12*(1-Folha0!R40)+Q11-Q24</f>
        <v>208.79881777208021</v>
      </c>
      <c r="R27" s="28">
        <f ca="1">+R12*(1-Folha0!S40)+R11-R24</f>
        <v>213.2744589205488</v>
      </c>
      <c r="S27" s="28">
        <f ca="1">+S12*(1-Folha0!T40)+S11-S24</f>
        <v>213.68313162137639</v>
      </c>
      <c r="T27" s="28">
        <f ca="1">+T12*(1-Folha0!U40)+T11-T24</f>
        <v>249.61103753006986</v>
      </c>
      <c r="U27" s="28">
        <f ca="1">+U12*(1-Folha0!V40)+U11-U24</f>
        <v>255.54847350515809</v>
      </c>
      <c r="V27" s="28">
        <f ca="1">+V12*(1-Folha0!W40)+V11-V24</f>
        <v>256.58231391418428</v>
      </c>
      <c r="W27" s="28">
        <f ca="1">+W12*(1-Folha0!X40)+W11-W24</f>
        <v>236.86044696535427</v>
      </c>
      <c r="X27" s="28">
        <f ca="1">+X12*(1-Folha0!Y40)+X11-X24</f>
        <v>266.06760594338056</v>
      </c>
      <c r="Y27" s="28">
        <f ca="1">+Y12*(1-Folha0!Z40)+Y11-Y24</f>
        <v>317.75621370601834</v>
      </c>
      <c r="Z27" s="28">
        <f ca="1">+Z12*(1-Folha0!AA40)+Z11-Z24</f>
        <v>285.97525225677026</v>
      </c>
      <c r="AA27" s="28">
        <f ca="1">+AA12*(1-Folha0!AB40)+AA11-AA24</f>
        <v>268.31525866838126</v>
      </c>
      <c r="AB27" s="28">
        <f ca="1">+AB12*(1-Folha0!AC40)+AB11-AB24</f>
        <v>270.49435174931716</v>
      </c>
      <c r="AC27" s="28">
        <f ca="1">+AC12*(1-Folha0!AD40)+AC11-AC24</f>
        <v>240.35680046009057</v>
      </c>
      <c r="AD27" s="28">
        <f ca="1">+AD12*(1-Folha0!AE40)+AD11-AD24</f>
        <v>214.25410689369846</v>
      </c>
      <c r="AE27" s="28">
        <f ca="1">+AE12*(1-Folha0!AF40)+AE11-AE24</f>
        <v>232.56404160462176</v>
      </c>
      <c r="AF27" s="28">
        <f ca="1">+AF12*(1-Folha0!AG40)+AF11-AF24</f>
        <v>197.20460129450487</v>
      </c>
      <c r="AG27" s="28">
        <f ca="1">+AG12*(1-Folha0!AH40)+AG11-AG24</f>
        <v>171.41419577956586</v>
      </c>
      <c r="AH27" s="28">
        <f ca="1">+AH12*(1-Folha0!AI40)+AH11-AH24</f>
        <v>189.71778918733429</v>
      </c>
      <c r="AI27" s="28">
        <f ca="1">+AI12*(1-Folha0!AJ40)+AI11-AI24</f>
        <v>140.16291564880407</v>
      </c>
      <c r="AJ27" s="28">
        <f ca="1">+AJ12*(1-Folha0!AK40)+AJ11-AJ24</f>
        <v>174.63396684154574</v>
      </c>
      <c r="AK27" s="28">
        <f ca="1">+AK12*(1-Folha0!AL40)+AK11-AK24</f>
        <v>30.605039299931079</v>
      </c>
    </row>
    <row r="28" spans="2:41" x14ac:dyDescent="0.25">
      <c r="B28" s="52" t="s">
        <v>165</v>
      </c>
      <c r="C28" s="28">
        <f ca="1">+C27</f>
        <v>-22.546700123329366</v>
      </c>
      <c r="D28" s="28">
        <f ca="1">+C28+D27</f>
        <v>-74.872458045562212</v>
      </c>
      <c r="E28" s="28">
        <f t="shared" ref="E28:AK28" ca="1" si="7">+D28+E27</f>
        <v>-300.66530182714109</v>
      </c>
      <c r="F28" s="28">
        <f t="shared" ca="1" si="7"/>
        <v>-502.60657495671114</v>
      </c>
      <c r="G28" s="28">
        <f t="shared" ca="1" si="7"/>
        <v>-526.38536438187214</v>
      </c>
      <c r="H28" s="28">
        <f t="shared" ca="1" si="7"/>
        <v>-486.23262290825966</v>
      </c>
      <c r="I28" s="28">
        <f t="shared" ca="1" si="7"/>
        <v>-431.97767071178367</v>
      </c>
      <c r="J28" s="28">
        <f t="shared" ca="1" si="7"/>
        <v>-343.21913778519706</v>
      </c>
      <c r="K28" s="28">
        <f t="shared" ca="1" si="7"/>
        <v>-255.7418317942456</v>
      </c>
      <c r="L28" s="28">
        <f t="shared" ca="1" si="7"/>
        <v>-133.84197046393024</v>
      </c>
      <c r="M28" s="28">
        <f t="shared" ca="1" si="7"/>
        <v>1.6489400409573705</v>
      </c>
      <c r="N28" s="28">
        <f t="shared" ca="1" si="7"/>
        <v>167.73739783056027</v>
      </c>
      <c r="O28" s="28">
        <f t="shared" ca="1" si="7"/>
        <v>323.85079971218988</v>
      </c>
      <c r="P28" s="28">
        <f t="shared" ca="1" si="7"/>
        <v>562.99486645084858</v>
      </c>
      <c r="Q28" s="28">
        <f t="shared" ca="1" si="7"/>
        <v>771.79368422292873</v>
      </c>
      <c r="R28" s="28">
        <f t="shared" ca="1" si="7"/>
        <v>985.06814314347753</v>
      </c>
      <c r="S28" s="28">
        <f t="shared" ca="1" si="7"/>
        <v>1198.7512747648539</v>
      </c>
      <c r="T28" s="28">
        <f t="shared" ca="1" si="7"/>
        <v>1448.3623122949236</v>
      </c>
      <c r="U28" s="28">
        <f t="shared" ca="1" si="7"/>
        <v>1703.9107858000816</v>
      </c>
      <c r="V28" s="28">
        <f t="shared" ca="1" si="7"/>
        <v>1960.493099714266</v>
      </c>
      <c r="W28" s="28">
        <f t="shared" ca="1" si="7"/>
        <v>2197.3535466796202</v>
      </c>
      <c r="X28" s="28">
        <f t="shared" ca="1" si="7"/>
        <v>2463.4211526230006</v>
      </c>
      <c r="Y28" s="28">
        <f t="shared" ca="1" si="7"/>
        <v>2781.1773663290187</v>
      </c>
      <c r="Z28" s="28">
        <f t="shared" ca="1" si="7"/>
        <v>3067.1526185857888</v>
      </c>
      <c r="AA28" s="28">
        <f t="shared" ca="1" si="7"/>
        <v>3335.4678772541702</v>
      </c>
      <c r="AB28" s="28">
        <f t="shared" ca="1" si="7"/>
        <v>3605.9622290034872</v>
      </c>
      <c r="AC28" s="28">
        <f t="shared" ca="1" si="7"/>
        <v>3846.3190294635779</v>
      </c>
      <c r="AD28" s="28">
        <f t="shared" ca="1" si="7"/>
        <v>4060.5731363572763</v>
      </c>
      <c r="AE28" s="28">
        <f t="shared" ca="1" si="7"/>
        <v>4293.1371779618985</v>
      </c>
      <c r="AF28" s="28">
        <f t="shared" ca="1" si="7"/>
        <v>4490.3417792564032</v>
      </c>
      <c r="AG28" s="28">
        <f t="shared" ca="1" si="7"/>
        <v>4661.7559750359687</v>
      </c>
      <c r="AH28" s="28">
        <f t="shared" ca="1" si="7"/>
        <v>4851.4737642233031</v>
      </c>
      <c r="AI28" s="28">
        <f t="shared" ca="1" si="7"/>
        <v>4991.6366798721074</v>
      </c>
      <c r="AJ28" s="28">
        <f t="shared" ca="1" si="7"/>
        <v>5166.2706467136532</v>
      </c>
      <c r="AK28" s="28">
        <f t="shared" ca="1" si="7"/>
        <v>5196.8756860135845</v>
      </c>
    </row>
    <row r="29" spans="2:41" x14ac:dyDescent="0.25">
      <c r="C29" s="48"/>
    </row>
    <row r="33" spans="3:37" x14ac:dyDescent="0.25">
      <c r="C33" s="57">
        <f t="shared" ref="C33:AK33" ca="1" si="8">IF(C28&lt;0,1,0)</f>
        <v>1</v>
      </c>
      <c r="D33" s="57">
        <f t="shared" ca="1" si="8"/>
        <v>1</v>
      </c>
      <c r="E33" s="57">
        <f t="shared" ca="1" si="8"/>
        <v>1</v>
      </c>
      <c r="F33" s="57">
        <f t="shared" ca="1" si="8"/>
        <v>1</v>
      </c>
      <c r="G33" s="57">
        <f t="shared" ca="1" si="8"/>
        <v>1</v>
      </c>
      <c r="H33" s="57">
        <f t="shared" ca="1" si="8"/>
        <v>1</v>
      </c>
      <c r="I33" s="57">
        <f t="shared" ca="1" si="8"/>
        <v>1</v>
      </c>
      <c r="J33" s="57">
        <f t="shared" ca="1" si="8"/>
        <v>1</v>
      </c>
      <c r="K33" s="57">
        <f t="shared" ca="1" si="8"/>
        <v>1</v>
      </c>
      <c r="L33" s="57">
        <f t="shared" ca="1" si="8"/>
        <v>1</v>
      </c>
      <c r="M33" s="57">
        <f t="shared" ca="1" si="8"/>
        <v>0</v>
      </c>
      <c r="N33" s="57">
        <f t="shared" ca="1" si="8"/>
        <v>0</v>
      </c>
      <c r="O33" s="57">
        <f t="shared" ca="1" si="8"/>
        <v>0</v>
      </c>
      <c r="P33" s="57">
        <f t="shared" ca="1" si="8"/>
        <v>0</v>
      </c>
      <c r="Q33" s="57">
        <f t="shared" ca="1" si="8"/>
        <v>0</v>
      </c>
      <c r="R33" s="57">
        <f t="shared" ca="1" si="8"/>
        <v>0</v>
      </c>
      <c r="S33" s="57">
        <f t="shared" ca="1" si="8"/>
        <v>0</v>
      </c>
      <c r="T33" s="57">
        <f t="shared" ca="1" si="8"/>
        <v>0</v>
      </c>
      <c r="U33" s="57">
        <f t="shared" ca="1" si="8"/>
        <v>0</v>
      </c>
      <c r="V33" s="57">
        <f t="shared" ca="1" si="8"/>
        <v>0</v>
      </c>
      <c r="W33" s="57">
        <f t="shared" ca="1" si="8"/>
        <v>0</v>
      </c>
      <c r="X33" s="57">
        <f t="shared" ca="1" si="8"/>
        <v>0</v>
      </c>
      <c r="Y33" s="57">
        <f t="shared" ca="1" si="8"/>
        <v>0</v>
      </c>
      <c r="Z33" s="57">
        <f t="shared" ca="1" si="8"/>
        <v>0</v>
      </c>
      <c r="AA33" s="57">
        <f t="shared" ca="1" si="8"/>
        <v>0</v>
      </c>
      <c r="AB33" s="57">
        <f t="shared" ca="1" si="8"/>
        <v>0</v>
      </c>
      <c r="AC33" s="57">
        <f t="shared" ca="1" si="8"/>
        <v>0</v>
      </c>
      <c r="AD33" s="57">
        <f t="shared" ca="1" si="8"/>
        <v>0</v>
      </c>
      <c r="AE33" s="57">
        <f t="shared" ca="1" si="8"/>
        <v>0</v>
      </c>
      <c r="AF33" s="57">
        <f t="shared" ca="1" si="8"/>
        <v>0</v>
      </c>
      <c r="AG33" s="57">
        <f t="shared" ca="1" si="8"/>
        <v>0</v>
      </c>
      <c r="AH33" s="57">
        <f t="shared" ca="1" si="8"/>
        <v>0</v>
      </c>
      <c r="AI33" s="57">
        <f t="shared" ca="1" si="8"/>
        <v>0</v>
      </c>
      <c r="AJ33" s="57">
        <f t="shared" ca="1" si="8"/>
        <v>0</v>
      </c>
      <c r="AK33" s="57">
        <f t="shared" ca="1" si="8"/>
        <v>0</v>
      </c>
    </row>
    <row r="34" spans="3:37" x14ac:dyDescent="0.25">
      <c r="C34" s="57">
        <f ca="1">+C33</f>
        <v>1</v>
      </c>
      <c r="D34" s="57">
        <f ca="1">+C34+D33</f>
        <v>2</v>
      </c>
      <c r="E34" s="57">
        <f t="shared" ref="E34:AK34" ca="1" si="9">+D34+E33</f>
        <v>3</v>
      </c>
      <c r="F34" s="57">
        <f t="shared" ca="1" si="9"/>
        <v>4</v>
      </c>
      <c r="G34" s="57">
        <f t="shared" ca="1" si="9"/>
        <v>5</v>
      </c>
      <c r="H34" s="57">
        <f t="shared" ca="1" si="9"/>
        <v>6</v>
      </c>
      <c r="I34" s="57">
        <f t="shared" ca="1" si="9"/>
        <v>7</v>
      </c>
      <c r="J34" s="57">
        <f t="shared" ca="1" si="9"/>
        <v>8</v>
      </c>
      <c r="K34" s="57">
        <f t="shared" ca="1" si="9"/>
        <v>9</v>
      </c>
      <c r="L34" s="57">
        <f t="shared" ca="1" si="9"/>
        <v>10</v>
      </c>
      <c r="M34" s="57">
        <f t="shared" ca="1" si="9"/>
        <v>10</v>
      </c>
      <c r="N34" s="57">
        <f t="shared" ca="1" si="9"/>
        <v>10</v>
      </c>
      <c r="O34" s="57">
        <f t="shared" ca="1" si="9"/>
        <v>10</v>
      </c>
      <c r="P34" s="57">
        <f t="shared" ca="1" si="9"/>
        <v>10</v>
      </c>
      <c r="Q34" s="57">
        <f t="shared" ca="1" si="9"/>
        <v>10</v>
      </c>
      <c r="R34" s="57">
        <f t="shared" ca="1" si="9"/>
        <v>10</v>
      </c>
      <c r="S34" s="57">
        <f t="shared" ca="1" si="9"/>
        <v>10</v>
      </c>
      <c r="T34" s="57">
        <f t="shared" ca="1" si="9"/>
        <v>10</v>
      </c>
      <c r="U34" s="57">
        <f t="shared" ca="1" si="9"/>
        <v>10</v>
      </c>
      <c r="V34" s="57">
        <f t="shared" ca="1" si="9"/>
        <v>10</v>
      </c>
      <c r="W34" s="57">
        <f t="shared" ca="1" si="9"/>
        <v>10</v>
      </c>
      <c r="X34" s="57">
        <f t="shared" ca="1" si="9"/>
        <v>10</v>
      </c>
      <c r="Y34" s="57">
        <f t="shared" ca="1" si="9"/>
        <v>10</v>
      </c>
      <c r="Z34" s="57">
        <f t="shared" ca="1" si="9"/>
        <v>10</v>
      </c>
      <c r="AA34" s="57">
        <f t="shared" ca="1" si="9"/>
        <v>10</v>
      </c>
      <c r="AB34" s="57">
        <f t="shared" ca="1" si="9"/>
        <v>10</v>
      </c>
      <c r="AC34" s="57">
        <f t="shared" ca="1" si="9"/>
        <v>10</v>
      </c>
      <c r="AD34" s="57">
        <f t="shared" ca="1" si="9"/>
        <v>10</v>
      </c>
      <c r="AE34" s="57">
        <f t="shared" ca="1" si="9"/>
        <v>10</v>
      </c>
      <c r="AF34" s="57">
        <f t="shared" ca="1" si="9"/>
        <v>10</v>
      </c>
      <c r="AG34" s="57">
        <f t="shared" ca="1" si="9"/>
        <v>10</v>
      </c>
      <c r="AH34" s="57">
        <f t="shared" ca="1" si="9"/>
        <v>10</v>
      </c>
      <c r="AI34" s="57">
        <f t="shared" ca="1" si="9"/>
        <v>10</v>
      </c>
      <c r="AJ34" s="57">
        <f t="shared" ca="1" si="9"/>
        <v>10</v>
      </c>
      <c r="AK34" s="57">
        <f t="shared" ca="1" si="9"/>
        <v>10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topLeftCell="D1" workbookViewId="0">
      <selection activeCell="V3" sqref="V3"/>
    </sheetView>
  </sheetViews>
  <sheetFormatPr defaultRowHeight="15" x14ac:dyDescent="0.25"/>
  <cols>
    <col min="1" max="1" width="3.85546875" customWidth="1"/>
  </cols>
  <sheetData>
    <row r="1" spans="2:22" x14ac:dyDescent="0.25">
      <c r="B1" s="2" t="s">
        <v>51</v>
      </c>
    </row>
    <row r="2" spans="2:22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83</v>
      </c>
    </row>
    <row r="3" spans="2:22" x14ac:dyDescent="0.25">
      <c r="B3" t="s">
        <v>52</v>
      </c>
      <c r="C3">
        <f ca="1">+Folha1!C23</f>
        <v>22.546700123329366</v>
      </c>
      <c r="D3">
        <f ca="1">+Folha1!D23</f>
        <v>52.325757922232853</v>
      </c>
      <c r="E3">
        <f ca="1">+Folha1!E23</f>
        <v>225.79284378157888</v>
      </c>
      <c r="F3">
        <f ca="1">+Folha1!F23</f>
        <v>201.94127312957005</v>
      </c>
      <c r="G3">
        <f ca="1">+Folha1!G23</f>
        <v>64.624104590072676</v>
      </c>
      <c r="H3">
        <f ca="1">+Folha1!H23</f>
        <v>13.727747973165954</v>
      </c>
      <c r="I3">
        <f ca="1">+Folha1!I23</f>
        <v>10.96349300532205</v>
      </c>
      <c r="J3">
        <f ca="1">+Folha1!J23</f>
        <v>10.677509628530283</v>
      </c>
      <c r="K3">
        <f ca="1">+Folha1!K23</f>
        <v>13.309028108113059</v>
      </c>
      <c r="L3">
        <f ca="1">+Folha1!L23</f>
        <v>11.909381339263733</v>
      </c>
      <c r="M3">
        <f ca="1">+Folha1!M23</f>
        <v>12.032100604216756</v>
      </c>
      <c r="N3">
        <f ca="1">+Folha1!N23</f>
        <v>15.38004535555007</v>
      </c>
      <c r="O3">
        <f ca="1">+Folha1!O23</f>
        <v>18.25203471251605</v>
      </c>
      <c r="P3">
        <f ca="1">+Folha1!P23</f>
        <v>14.807618186363793</v>
      </c>
      <c r="Q3">
        <f ca="1">+Folha1!Q23</f>
        <v>14.082591079972948</v>
      </c>
      <c r="R3">
        <f ca="1">+Folha1!R23</f>
        <v>19.270378582024907</v>
      </c>
      <c r="S3">
        <f ca="1">+Folha1!S23</f>
        <v>13.153800288458756</v>
      </c>
      <c r="T3">
        <f ca="1">+Folha1!T23</f>
        <v>14.846451554614816</v>
      </c>
      <c r="U3">
        <f ca="1">+Folha1!U23</f>
        <v>14.766357665015882</v>
      </c>
      <c r="V3">
        <f ca="1">SUM(C3:U3)</f>
        <v>764.4092176299132</v>
      </c>
    </row>
    <row r="4" spans="2:22" x14ac:dyDescent="0.25">
      <c r="B4" t="s">
        <v>53</v>
      </c>
      <c r="V4">
        <f t="shared" ref="V4:V35" si="0">SUM(C4:U4)</f>
        <v>0</v>
      </c>
    </row>
    <row r="5" spans="2:22" x14ac:dyDescent="0.25">
      <c r="B5" t="s">
        <v>54</v>
      </c>
      <c r="V5">
        <f t="shared" si="0"/>
        <v>0</v>
      </c>
    </row>
    <row r="6" spans="2:22" x14ac:dyDescent="0.25">
      <c r="B6" t="s">
        <v>55</v>
      </c>
      <c r="V6">
        <f t="shared" si="0"/>
        <v>0</v>
      </c>
    </row>
    <row r="7" spans="2:22" x14ac:dyDescent="0.25">
      <c r="B7" t="s">
        <v>56</v>
      </c>
      <c r="C7">
        <f ca="1">+$C$3/15</f>
        <v>1.5031133415552911</v>
      </c>
      <c r="D7">
        <f ca="1">+$D$3/15</f>
        <v>3.4883838614821903</v>
      </c>
      <c r="E7">
        <f ca="1">+$E$3/15</f>
        <v>15.05285625210526</v>
      </c>
      <c r="F7">
        <f ca="1">+$F$3/15</f>
        <v>13.462751541971336</v>
      </c>
      <c r="V7">
        <f t="shared" ca="1" si="0"/>
        <v>33.507104997114077</v>
      </c>
    </row>
    <row r="8" spans="2:22" x14ac:dyDescent="0.25">
      <c r="B8" t="s">
        <v>57</v>
      </c>
      <c r="C8">
        <f t="shared" ref="C8:C21" ca="1" si="1">+$C$3/15</f>
        <v>1.5031133415552911</v>
      </c>
      <c r="D8">
        <f t="shared" ref="D8:D21" ca="1" si="2">+$D$3/15</f>
        <v>3.4883838614821903</v>
      </c>
      <c r="E8">
        <f t="shared" ref="E8:E21" ca="1" si="3">+$E$3/15</f>
        <v>15.05285625210526</v>
      </c>
      <c r="F8">
        <f t="shared" ref="F8:F16" ca="1" si="4">+$F$3/15</f>
        <v>13.462751541971336</v>
      </c>
      <c r="G8">
        <f t="shared" ref="G8:G22" ca="1" si="5">+$G$3/15</f>
        <v>4.3082736393381786</v>
      </c>
      <c r="V8">
        <f t="shared" ca="1" si="0"/>
        <v>37.815378636452252</v>
      </c>
    </row>
    <row r="9" spans="2:22" x14ac:dyDescent="0.25">
      <c r="B9" t="s">
        <v>58</v>
      </c>
      <c r="C9">
        <f t="shared" ca="1" si="1"/>
        <v>1.5031133415552911</v>
      </c>
      <c r="D9">
        <f t="shared" ca="1" si="2"/>
        <v>3.4883838614821903</v>
      </c>
      <c r="E9">
        <f t="shared" ca="1" si="3"/>
        <v>15.05285625210526</v>
      </c>
      <c r="F9">
        <f t="shared" ca="1" si="4"/>
        <v>13.462751541971336</v>
      </c>
      <c r="G9">
        <f t="shared" ca="1" si="5"/>
        <v>4.3082736393381786</v>
      </c>
      <c r="H9">
        <f t="shared" ref="H9:H23" ca="1" si="6">+$H$3/15</f>
        <v>0.91518319821106364</v>
      </c>
      <c r="V9">
        <f t="shared" ca="1" si="0"/>
        <v>38.730561834663312</v>
      </c>
    </row>
    <row r="10" spans="2:22" x14ac:dyDescent="0.25">
      <c r="B10" t="s">
        <v>59</v>
      </c>
      <c r="C10">
        <f t="shared" ca="1" si="1"/>
        <v>1.5031133415552911</v>
      </c>
      <c r="D10">
        <f t="shared" ca="1" si="2"/>
        <v>3.4883838614821903</v>
      </c>
      <c r="E10">
        <f t="shared" ca="1" si="3"/>
        <v>15.05285625210526</v>
      </c>
      <c r="F10">
        <f t="shared" ca="1" si="4"/>
        <v>13.462751541971336</v>
      </c>
      <c r="G10">
        <f t="shared" ca="1" si="5"/>
        <v>4.3082736393381786</v>
      </c>
      <c r="H10">
        <f t="shared" ca="1" si="6"/>
        <v>0.91518319821106364</v>
      </c>
      <c r="I10">
        <f ca="1">+$I$3/15</f>
        <v>0.73089953368813665</v>
      </c>
      <c r="V10">
        <f t="shared" ca="1" si="0"/>
        <v>39.461461368351451</v>
      </c>
    </row>
    <row r="11" spans="2:22" x14ac:dyDescent="0.25">
      <c r="B11" t="s">
        <v>60</v>
      </c>
      <c r="C11">
        <f t="shared" ca="1" si="1"/>
        <v>1.5031133415552911</v>
      </c>
      <c r="D11">
        <f t="shared" ca="1" si="2"/>
        <v>3.4883838614821903</v>
      </c>
      <c r="E11">
        <f t="shared" ca="1" si="3"/>
        <v>15.05285625210526</v>
      </c>
      <c r="F11">
        <f t="shared" ca="1" si="4"/>
        <v>13.462751541971336</v>
      </c>
      <c r="G11">
        <f t="shared" ca="1" si="5"/>
        <v>4.3082736393381786</v>
      </c>
      <c r="H11">
        <f t="shared" ca="1" si="6"/>
        <v>0.91518319821106364</v>
      </c>
      <c r="I11">
        <f t="shared" ref="I11:I24" ca="1" si="7">+$I$3/15</f>
        <v>0.73089953368813665</v>
      </c>
      <c r="J11">
        <f ca="1">+$J$3/15</f>
        <v>0.71183397523535219</v>
      </c>
      <c r="V11">
        <f t="shared" ca="1" si="0"/>
        <v>40.173295343586801</v>
      </c>
    </row>
    <row r="12" spans="2:22" x14ac:dyDescent="0.25">
      <c r="B12" t="s">
        <v>61</v>
      </c>
      <c r="C12">
        <f t="shared" ca="1" si="1"/>
        <v>1.5031133415552911</v>
      </c>
      <c r="D12">
        <f t="shared" ca="1" si="2"/>
        <v>3.4883838614821903</v>
      </c>
      <c r="E12">
        <f t="shared" ca="1" si="3"/>
        <v>15.05285625210526</v>
      </c>
      <c r="F12">
        <f t="shared" ca="1" si="4"/>
        <v>13.462751541971336</v>
      </c>
      <c r="G12">
        <f t="shared" ca="1" si="5"/>
        <v>4.3082736393381786</v>
      </c>
      <c r="H12">
        <f t="shared" ca="1" si="6"/>
        <v>0.91518319821106364</v>
      </c>
      <c r="I12">
        <f t="shared" ca="1" si="7"/>
        <v>0.73089953368813665</v>
      </c>
      <c r="J12">
        <f t="shared" ref="J12:J25" ca="1" si="8">+$J$3/15</f>
        <v>0.71183397523535219</v>
      </c>
      <c r="K12">
        <f t="shared" ref="K12:K26" ca="1" si="9">+$K$3/15</f>
        <v>0.88726854054087068</v>
      </c>
      <c r="V12">
        <f t="shared" ca="1" si="0"/>
        <v>41.060563884127674</v>
      </c>
    </row>
    <row r="13" spans="2:22" x14ac:dyDescent="0.25">
      <c r="B13" t="s">
        <v>62</v>
      </c>
      <c r="C13">
        <f t="shared" ca="1" si="1"/>
        <v>1.5031133415552911</v>
      </c>
      <c r="D13">
        <f t="shared" ca="1" si="2"/>
        <v>3.4883838614821903</v>
      </c>
      <c r="E13">
        <f t="shared" ca="1" si="3"/>
        <v>15.05285625210526</v>
      </c>
      <c r="F13">
        <f t="shared" ca="1" si="4"/>
        <v>13.462751541971336</v>
      </c>
      <c r="G13">
        <f t="shared" ca="1" si="5"/>
        <v>4.3082736393381786</v>
      </c>
      <c r="H13">
        <f t="shared" ca="1" si="6"/>
        <v>0.91518319821106364</v>
      </c>
      <c r="I13">
        <f t="shared" ca="1" si="7"/>
        <v>0.73089953368813665</v>
      </c>
      <c r="J13">
        <f t="shared" ca="1" si="8"/>
        <v>0.71183397523535219</v>
      </c>
      <c r="K13">
        <f t="shared" ca="1" si="9"/>
        <v>0.88726854054087068</v>
      </c>
      <c r="L13">
        <f t="shared" ref="L13:L27" ca="1" si="10">+$L$3/15</f>
        <v>0.79395875595091558</v>
      </c>
      <c r="V13">
        <f t="shared" ca="1" si="0"/>
        <v>41.854522640078592</v>
      </c>
    </row>
    <row r="14" spans="2:22" x14ac:dyDescent="0.25">
      <c r="B14" t="s">
        <v>63</v>
      </c>
      <c r="C14">
        <f t="shared" ca="1" si="1"/>
        <v>1.5031133415552911</v>
      </c>
      <c r="D14">
        <f t="shared" ca="1" si="2"/>
        <v>3.4883838614821903</v>
      </c>
      <c r="E14">
        <f t="shared" ca="1" si="3"/>
        <v>15.05285625210526</v>
      </c>
      <c r="F14">
        <f t="shared" ca="1" si="4"/>
        <v>13.462751541971336</v>
      </c>
      <c r="G14">
        <f t="shared" ca="1" si="5"/>
        <v>4.3082736393381786</v>
      </c>
      <c r="H14">
        <f t="shared" ca="1" si="6"/>
        <v>0.91518319821106364</v>
      </c>
      <c r="I14">
        <f t="shared" ca="1" si="7"/>
        <v>0.73089953368813665</v>
      </c>
      <c r="J14">
        <f t="shared" ca="1" si="8"/>
        <v>0.71183397523535219</v>
      </c>
      <c r="K14">
        <f t="shared" ca="1" si="9"/>
        <v>0.88726854054087068</v>
      </c>
      <c r="L14">
        <f t="shared" ca="1" si="10"/>
        <v>0.79395875595091558</v>
      </c>
      <c r="M14">
        <f t="shared" ref="M14:M28" ca="1" si="11">+$M$3/15</f>
        <v>0.80214004028111707</v>
      </c>
      <c r="V14">
        <f t="shared" ca="1" si="0"/>
        <v>42.656662680359709</v>
      </c>
    </row>
    <row r="15" spans="2:22" x14ac:dyDescent="0.25">
      <c r="B15" t="s">
        <v>64</v>
      </c>
      <c r="C15">
        <f t="shared" ca="1" si="1"/>
        <v>1.5031133415552911</v>
      </c>
      <c r="D15">
        <f t="shared" ca="1" si="2"/>
        <v>3.4883838614821903</v>
      </c>
      <c r="E15">
        <f t="shared" ca="1" si="3"/>
        <v>15.05285625210526</v>
      </c>
      <c r="F15">
        <f t="shared" ca="1" si="4"/>
        <v>13.462751541971336</v>
      </c>
      <c r="G15">
        <f t="shared" ca="1" si="5"/>
        <v>4.3082736393381786</v>
      </c>
      <c r="H15">
        <f t="shared" ca="1" si="6"/>
        <v>0.91518319821106364</v>
      </c>
      <c r="I15">
        <f t="shared" ca="1" si="7"/>
        <v>0.73089953368813665</v>
      </c>
      <c r="J15">
        <f t="shared" ca="1" si="8"/>
        <v>0.71183397523535219</v>
      </c>
      <c r="K15">
        <f t="shared" ca="1" si="9"/>
        <v>0.88726854054087068</v>
      </c>
      <c r="L15">
        <f t="shared" ca="1" si="10"/>
        <v>0.79395875595091558</v>
      </c>
      <c r="M15">
        <f t="shared" ca="1" si="11"/>
        <v>0.80214004028111707</v>
      </c>
      <c r="N15">
        <f t="shared" ref="N15:N29" ca="1" si="12">+$N$3/15</f>
        <v>1.0253363570366714</v>
      </c>
      <c r="V15">
        <f t="shared" ca="1" si="0"/>
        <v>43.68199903739638</v>
      </c>
    </row>
    <row r="16" spans="2:22" x14ac:dyDescent="0.25">
      <c r="B16" t="s">
        <v>65</v>
      </c>
      <c r="C16">
        <f t="shared" ca="1" si="1"/>
        <v>1.5031133415552911</v>
      </c>
      <c r="D16">
        <f t="shared" ca="1" si="2"/>
        <v>3.4883838614821903</v>
      </c>
      <c r="E16">
        <f t="shared" ca="1" si="3"/>
        <v>15.05285625210526</v>
      </c>
      <c r="F16">
        <f t="shared" ca="1" si="4"/>
        <v>13.462751541971336</v>
      </c>
      <c r="G16">
        <f t="shared" ca="1" si="5"/>
        <v>4.3082736393381786</v>
      </c>
      <c r="H16">
        <f t="shared" ca="1" si="6"/>
        <v>0.91518319821106364</v>
      </c>
      <c r="I16">
        <f t="shared" ca="1" si="7"/>
        <v>0.73089953368813665</v>
      </c>
      <c r="J16">
        <f t="shared" ca="1" si="8"/>
        <v>0.71183397523535219</v>
      </c>
      <c r="K16">
        <f t="shared" ca="1" si="9"/>
        <v>0.88726854054087068</v>
      </c>
      <c r="L16">
        <f t="shared" ca="1" si="10"/>
        <v>0.79395875595091558</v>
      </c>
      <c r="M16">
        <f t="shared" ca="1" si="11"/>
        <v>0.80214004028111707</v>
      </c>
      <c r="N16">
        <f t="shared" ca="1" si="12"/>
        <v>1.0253363570366714</v>
      </c>
      <c r="O16">
        <f t="shared" ref="O16:O30" ca="1" si="13">+$O$3/15</f>
        <v>1.2168023141677367</v>
      </c>
      <c r="V16">
        <f t="shared" ca="1" si="0"/>
        <v>44.898801351564117</v>
      </c>
    </row>
    <row r="17" spans="2:22" x14ac:dyDescent="0.25">
      <c r="B17" t="s">
        <v>66</v>
      </c>
      <c r="C17">
        <f t="shared" ca="1" si="1"/>
        <v>1.5031133415552911</v>
      </c>
      <c r="D17">
        <f t="shared" ca="1" si="2"/>
        <v>3.4883838614821903</v>
      </c>
      <c r="E17">
        <f t="shared" ca="1" si="3"/>
        <v>15.05285625210526</v>
      </c>
      <c r="F17">
        <f t="shared" ref="F17:F21" ca="1" si="14">+$F$3/15</f>
        <v>13.462751541971336</v>
      </c>
      <c r="G17">
        <f t="shared" ca="1" si="5"/>
        <v>4.3082736393381786</v>
      </c>
      <c r="H17">
        <f t="shared" ca="1" si="6"/>
        <v>0.91518319821106364</v>
      </c>
      <c r="I17">
        <f t="shared" ca="1" si="7"/>
        <v>0.73089953368813665</v>
      </c>
      <c r="J17">
        <f t="shared" ca="1" si="8"/>
        <v>0.71183397523535219</v>
      </c>
      <c r="K17">
        <f t="shared" ca="1" si="9"/>
        <v>0.88726854054087068</v>
      </c>
      <c r="L17">
        <f t="shared" ca="1" si="10"/>
        <v>0.79395875595091558</v>
      </c>
      <c r="M17">
        <f t="shared" ca="1" si="11"/>
        <v>0.80214004028111707</v>
      </c>
      <c r="N17">
        <f t="shared" ca="1" si="12"/>
        <v>1.0253363570366714</v>
      </c>
      <c r="O17">
        <f t="shared" ca="1" si="13"/>
        <v>1.2168023141677367</v>
      </c>
      <c r="P17">
        <f t="shared" ref="P17:P31" ca="1" si="15">+$P$3/15</f>
        <v>0.98717454575758623</v>
      </c>
      <c r="V17">
        <f t="shared" ca="1" si="0"/>
        <v>45.8859758973217</v>
      </c>
    </row>
    <row r="18" spans="2:22" x14ac:dyDescent="0.25">
      <c r="B18" t="s">
        <v>67</v>
      </c>
      <c r="C18">
        <f t="shared" ca="1" si="1"/>
        <v>1.5031133415552911</v>
      </c>
      <c r="D18">
        <f t="shared" ca="1" si="2"/>
        <v>3.4883838614821903</v>
      </c>
      <c r="E18">
        <f t="shared" ca="1" si="3"/>
        <v>15.05285625210526</v>
      </c>
      <c r="F18">
        <f t="shared" ca="1" si="14"/>
        <v>13.462751541971336</v>
      </c>
      <c r="G18">
        <f t="shared" ca="1" si="5"/>
        <v>4.3082736393381786</v>
      </c>
      <c r="H18">
        <f t="shared" ca="1" si="6"/>
        <v>0.91518319821106364</v>
      </c>
      <c r="I18">
        <f t="shared" ca="1" si="7"/>
        <v>0.73089953368813665</v>
      </c>
      <c r="J18">
        <f t="shared" ca="1" si="8"/>
        <v>0.71183397523535219</v>
      </c>
      <c r="K18">
        <f t="shared" ca="1" si="9"/>
        <v>0.88726854054087068</v>
      </c>
      <c r="L18">
        <f t="shared" ca="1" si="10"/>
        <v>0.79395875595091558</v>
      </c>
      <c r="M18">
        <f t="shared" ca="1" si="11"/>
        <v>0.80214004028111707</v>
      </c>
      <c r="N18">
        <f t="shared" ca="1" si="12"/>
        <v>1.0253363570366714</v>
      </c>
      <c r="O18">
        <f t="shared" ca="1" si="13"/>
        <v>1.2168023141677367</v>
      </c>
      <c r="P18">
        <f t="shared" ca="1" si="15"/>
        <v>0.98717454575758623</v>
      </c>
      <c r="Q18">
        <f t="shared" ref="Q18:Q32" ca="1" si="16">+$Q$3/15</f>
        <v>0.93883940533152987</v>
      </c>
      <c r="V18">
        <f t="shared" ca="1" si="0"/>
        <v>46.824815302653228</v>
      </c>
    </row>
    <row r="19" spans="2:22" x14ac:dyDescent="0.25">
      <c r="B19" t="s">
        <v>68</v>
      </c>
      <c r="C19">
        <f t="shared" ca="1" si="1"/>
        <v>1.5031133415552911</v>
      </c>
      <c r="D19">
        <f t="shared" ca="1" si="2"/>
        <v>3.4883838614821903</v>
      </c>
      <c r="E19">
        <f t="shared" ca="1" si="3"/>
        <v>15.05285625210526</v>
      </c>
      <c r="F19">
        <f t="shared" ca="1" si="14"/>
        <v>13.462751541971336</v>
      </c>
      <c r="G19">
        <f t="shared" ca="1" si="5"/>
        <v>4.3082736393381786</v>
      </c>
      <c r="H19">
        <f t="shared" ca="1" si="6"/>
        <v>0.91518319821106364</v>
      </c>
      <c r="I19">
        <f t="shared" ca="1" si="7"/>
        <v>0.73089953368813665</v>
      </c>
      <c r="J19">
        <f t="shared" ca="1" si="8"/>
        <v>0.71183397523535219</v>
      </c>
      <c r="K19">
        <f t="shared" ca="1" si="9"/>
        <v>0.88726854054087068</v>
      </c>
      <c r="L19">
        <f t="shared" ca="1" si="10"/>
        <v>0.79395875595091558</v>
      </c>
      <c r="M19">
        <f t="shared" ca="1" si="11"/>
        <v>0.80214004028111707</v>
      </c>
      <c r="N19">
        <f t="shared" ca="1" si="12"/>
        <v>1.0253363570366714</v>
      </c>
      <c r="O19">
        <f t="shared" ca="1" si="13"/>
        <v>1.2168023141677367</v>
      </c>
      <c r="P19">
        <f t="shared" ca="1" si="15"/>
        <v>0.98717454575758623</v>
      </c>
      <c r="Q19">
        <f t="shared" ca="1" si="16"/>
        <v>0.93883940533152987</v>
      </c>
      <c r="R19">
        <f t="shared" ref="R19:R33" ca="1" si="17">+$R$3/15</f>
        <v>1.2846919054683272</v>
      </c>
      <c r="V19">
        <f t="shared" ca="1" si="0"/>
        <v>48.109507208121556</v>
      </c>
    </row>
    <row r="20" spans="2:22" x14ac:dyDescent="0.25">
      <c r="B20" t="s">
        <v>69</v>
      </c>
      <c r="C20">
        <f t="shared" ca="1" si="1"/>
        <v>1.5031133415552911</v>
      </c>
      <c r="D20">
        <f t="shared" ca="1" si="2"/>
        <v>3.4883838614821903</v>
      </c>
      <c r="E20">
        <f t="shared" ca="1" si="3"/>
        <v>15.05285625210526</v>
      </c>
      <c r="F20">
        <f t="shared" ca="1" si="14"/>
        <v>13.462751541971336</v>
      </c>
      <c r="G20">
        <f t="shared" ca="1" si="5"/>
        <v>4.3082736393381786</v>
      </c>
      <c r="H20">
        <f t="shared" ca="1" si="6"/>
        <v>0.91518319821106364</v>
      </c>
      <c r="I20">
        <f t="shared" ca="1" si="7"/>
        <v>0.73089953368813665</v>
      </c>
      <c r="J20">
        <f t="shared" ca="1" si="8"/>
        <v>0.71183397523535219</v>
      </c>
      <c r="K20">
        <f t="shared" ca="1" si="9"/>
        <v>0.88726854054087068</v>
      </c>
      <c r="L20">
        <f t="shared" ca="1" si="10"/>
        <v>0.79395875595091558</v>
      </c>
      <c r="M20">
        <f t="shared" ca="1" si="11"/>
        <v>0.80214004028111707</v>
      </c>
      <c r="N20">
        <f t="shared" ca="1" si="12"/>
        <v>1.0253363570366714</v>
      </c>
      <c r="O20">
        <f t="shared" ca="1" si="13"/>
        <v>1.2168023141677367</v>
      </c>
      <c r="P20">
        <f t="shared" ca="1" si="15"/>
        <v>0.98717454575758623</v>
      </c>
      <c r="Q20">
        <f t="shared" ca="1" si="16"/>
        <v>0.93883940533152987</v>
      </c>
      <c r="R20">
        <f t="shared" ca="1" si="17"/>
        <v>1.2846919054683272</v>
      </c>
      <c r="S20">
        <f ca="1">+$S$3/15</f>
        <v>0.87692001923058371</v>
      </c>
      <c r="V20">
        <f t="shared" ca="1" si="0"/>
        <v>48.986427227352138</v>
      </c>
    </row>
    <row r="21" spans="2:22" x14ac:dyDescent="0.25">
      <c r="B21" t="s">
        <v>70</v>
      </c>
      <c r="C21">
        <f t="shared" ca="1" si="1"/>
        <v>1.5031133415552911</v>
      </c>
      <c r="D21">
        <f t="shared" ca="1" si="2"/>
        <v>3.4883838614821903</v>
      </c>
      <c r="E21">
        <f t="shared" ca="1" si="3"/>
        <v>15.05285625210526</v>
      </c>
      <c r="F21">
        <f t="shared" ca="1" si="14"/>
        <v>13.462751541971336</v>
      </c>
      <c r="G21">
        <f t="shared" ca="1" si="5"/>
        <v>4.3082736393381786</v>
      </c>
      <c r="H21">
        <f t="shared" ca="1" si="6"/>
        <v>0.91518319821106364</v>
      </c>
      <c r="I21">
        <f t="shared" ca="1" si="7"/>
        <v>0.73089953368813665</v>
      </c>
      <c r="J21">
        <f t="shared" ca="1" si="8"/>
        <v>0.71183397523535219</v>
      </c>
      <c r="K21">
        <f t="shared" ca="1" si="9"/>
        <v>0.88726854054087068</v>
      </c>
      <c r="L21">
        <f t="shared" ca="1" si="10"/>
        <v>0.79395875595091558</v>
      </c>
      <c r="M21">
        <f t="shared" ca="1" si="11"/>
        <v>0.80214004028111707</v>
      </c>
      <c r="N21">
        <f t="shared" ca="1" si="12"/>
        <v>1.0253363570366714</v>
      </c>
      <c r="O21">
        <f t="shared" ca="1" si="13"/>
        <v>1.2168023141677367</v>
      </c>
      <c r="P21">
        <f t="shared" ca="1" si="15"/>
        <v>0.98717454575758623</v>
      </c>
      <c r="Q21">
        <f t="shared" ca="1" si="16"/>
        <v>0.93883940533152987</v>
      </c>
      <c r="R21">
        <f t="shared" ca="1" si="17"/>
        <v>1.2846919054683272</v>
      </c>
      <c r="S21">
        <f t="shared" ref="S21:S34" ca="1" si="18">+$S$3/15</f>
        <v>0.87692001923058371</v>
      </c>
      <c r="T21">
        <f ca="1">+$T$3/15</f>
        <v>0.98976343697432112</v>
      </c>
      <c r="V21">
        <f t="shared" ca="1" si="0"/>
        <v>49.97619066432646</v>
      </c>
    </row>
    <row r="22" spans="2:22" x14ac:dyDescent="0.25">
      <c r="B22" t="s">
        <v>71</v>
      </c>
      <c r="G22">
        <f t="shared" ca="1" si="5"/>
        <v>4.3082736393381786</v>
      </c>
      <c r="H22">
        <f t="shared" ca="1" si="6"/>
        <v>0.91518319821106364</v>
      </c>
      <c r="I22">
        <f t="shared" ca="1" si="7"/>
        <v>0.73089953368813665</v>
      </c>
      <c r="J22">
        <f t="shared" ca="1" si="8"/>
        <v>0.71183397523535219</v>
      </c>
      <c r="K22">
        <f t="shared" ca="1" si="9"/>
        <v>0.88726854054087068</v>
      </c>
      <c r="L22">
        <f t="shared" ca="1" si="10"/>
        <v>0.79395875595091558</v>
      </c>
      <c r="M22">
        <f t="shared" ca="1" si="11"/>
        <v>0.80214004028111707</v>
      </c>
      <c r="N22">
        <f t="shared" ca="1" si="12"/>
        <v>1.0253363570366714</v>
      </c>
      <c r="O22">
        <f t="shared" ca="1" si="13"/>
        <v>1.2168023141677367</v>
      </c>
      <c r="P22">
        <f t="shared" ca="1" si="15"/>
        <v>0.98717454575758623</v>
      </c>
      <c r="Q22">
        <f t="shared" ca="1" si="16"/>
        <v>0.93883940533152987</v>
      </c>
      <c r="R22">
        <f t="shared" ca="1" si="17"/>
        <v>1.2846919054683272</v>
      </c>
      <c r="S22">
        <f t="shared" ca="1" si="18"/>
        <v>0.87692001923058371</v>
      </c>
      <c r="T22">
        <f t="shared" ref="T22:T35" ca="1" si="19">+$T$3/15</f>
        <v>0.98976343697432112</v>
      </c>
      <c r="U22">
        <f ca="1">+$U$3/15</f>
        <v>0.98442384433439212</v>
      </c>
      <c r="V22">
        <f t="shared" ca="1" si="0"/>
        <v>17.45350951154678</v>
      </c>
    </row>
    <row r="23" spans="2:22" x14ac:dyDescent="0.25">
      <c r="B23" t="s">
        <v>72</v>
      </c>
      <c r="H23">
        <f t="shared" ca="1" si="6"/>
        <v>0.91518319821106364</v>
      </c>
      <c r="I23">
        <f t="shared" ca="1" si="7"/>
        <v>0.73089953368813665</v>
      </c>
      <c r="J23">
        <f t="shared" ca="1" si="8"/>
        <v>0.71183397523535219</v>
      </c>
      <c r="K23">
        <f t="shared" ca="1" si="9"/>
        <v>0.88726854054087068</v>
      </c>
      <c r="L23">
        <f t="shared" ca="1" si="10"/>
        <v>0.79395875595091558</v>
      </c>
      <c r="M23">
        <f t="shared" ca="1" si="11"/>
        <v>0.80214004028111707</v>
      </c>
      <c r="N23">
        <f t="shared" ca="1" si="12"/>
        <v>1.0253363570366714</v>
      </c>
      <c r="O23">
        <f t="shared" ca="1" si="13"/>
        <v>1.2168023141677367</v>
      </c>
      <c r="P23">
        <f t="shared" ca="1" si="15"/>
        <v>0.98717454575758623</v>
      </c>
      <c r="Q23">
        <f t="shared" ca="1" si="16"/>
        <v>0.93883940533152987</v>
      </c>
      <c r="R23">
        <f t="shared" ca="1" si="17"/>
        <v>1.2846919054683272</v>
      </c>
      <c r="S23">
        <f t="shared" ca="1" si="18"/>
        <v>0.87692001923058371</v>
      </c>
      <c r="T23">
        <f t="shared" ca="1" si="19"/>
        <v>0.98976343697432112</v>
      </c>
      <c r="U23">
        <f t="shared" ref="U23:V36" ca="1" si="20">+$U$3/15</f>
        <v>0.98442384433439212</v>
      </c>
      <c r="V23">
        <f t="shared" ca="1" si="0"/>
        <v>13.145235872208604</v>
      </c>
    </row>
    <row r="24" spans="2:22" x14ac:dyDescent="0.25">
      <c r="B24" t="s">
        <v>73</v>
      </c>
      <c r="I24">
        <f t="shared" ca="1" si="7"/>
        <v>0.73089953368813665</v>
      </c>
      <c r="J24">
        <f t="shared" ca="1" si="8"/>
        <v>0.71183397523535219</v>
      </c>
      <c r="K24">
        <f t="shared" ca="1" si="9"/>
        <v>0.88726854054087068</v>
      </c>
      <c r="L24">
        <f t="shared" ca="1" si="10"/>
        <v>0.79395875595091558</v>
      </c>
      <c r="M24">
        <f t="shared" ca="1" si="11"/>
        <v>0.80214004028111707</v>
      </c>
      <c r="N24">
        <f t="shared" ca="1" si="12"/>
        <v>1.0253363570366714</v>
      </c>
      <c r="O24">
        <f t="shared" ca="1" si="13"/>
        <v>1.2168023141677367</v>
      </c>
      <c r="P24">
        <f t="shared" ca="1" si="15"/>
        <v>0.98717454575758623</v>
      </c>
      <c r="Q24">
        <f t="shared" ca="1" si="16"/>
        <v>0.93883940533152987</v>
      </c>
      <c r="R24">
        <f t="shared" ca="1" si="17"/>
        <v>1.2846919054683272</v>
      </c>
      <c r="S24">
        <f t="shared" ca="1" si="18"/>
        <v>0.87692001923058371</v>
      </c>
      <c r="T24">
        <f t="shared" ca="1" si="19"/>
        <v>0.98976343697432112</v>
      </c>
      <c r="U24">
        <f t="shared" ca="1" si="20"/>
        <v>0.98442384433439212</v>
      </c>
      <c r="V24">
        <f t="shared" ca="1" si="0"/>
        <v>12.230052673997539</v>
      </c>
    </row>
    <row r="25" spans="2:22" x14ac:dyDescent="0.25">
      <c r="B25" t="s">
        <v>74</v>
      </c>
      <c r="J25">
        <f t="shared" ca="1" si="8"/>
        <v>0.71183397523535219</v>
      </c>
      <c r="K25">
        <f t="shared" ca="1" si="9"/>
        <v>0.88726854054087068</v>
      </c>
      <c r="L25">
        <f t="shared" ca="1" si="10"/>
        <v>0.79395875595091558</v>
      </c>
      <c r="M25">
        <f t="shared" ca="1" si="11"/>
        <v>0.80214004028111707</v>
      </c>
      <c r="N25">
        <f t="shared" ca="1" si="12"/>
        <v>1.0253363570366714</v>
      </c>
      <c r="O25">
        <f t="shared" ca="1" si="13"/>
        <v>1.2168023141677367</v>
      </c>
      <c r="P25">
        <f t="shared" ca="1" si="15"/>
        <v>0.98717454575758623</v>
      </c>
      <c r="Q25">
        <f t="shared" ca="1" si="16"/>
        <v>0.93883940533152987</v>
      </c>
      <c r="R25">
        <f t="shared" ca="1" si="17"/>
        <v>1.2846919054683272</v>
      </c>
      <c r="S25">
        <f t="shared" ca="1" si="18"/>
        <v>0.87692001923058371</v>
      </c>
      <c r="T25">
        <f t="shared" ca="1" si="19"/>
        <v>0.98976343697432112</v>
      </c>
      <c r="U25">
        <f t="shared" ca="1" si="20"/>
        <v>0.98442384433439212</v>
      </c>
      <c r="V25">
        <f t="shared" ca="1" si="0"/>
        <v>11.499153140309405</v>
      </c>
    </row>
    <row r="26" spans="2:22" x14ac:dyDescent="0.25">
      <c r="B26" t="s">
        <v>75</v>
      </c>
      <c r="K26">
        <f t="shared" ca="1" si="9"/>
        <v>0.88726854054087068</v>
      </c>
      <c r="L26">
        <f t="shared" ca="1" si="10"/>
        <v>0.79395875595091558</v>
      </c>
      <c r="M26">
        <f t="shared" ca="1" si="11"/>
        <v>0.80214004028111707</v>
      </c>
      <c r="N26">
        <f t="shared" ca="1" si="12"/>
        <v>1.0253363570366714</v>
      </c>
      <c r="O26">
        <f t="shared" ca="1" si="13"/>
        <v>1.2168023141677367</v>
      </c>
      <c r="P26">
        <f t="shared" ca="1" si="15"/>
        <v>0.98717454575758623</v>
      </c>
      <c r="Q26">
        <f t="shared" ca="1" si="16"/>
        <v>0.93883940533152987</v>
      </c>
      <c r="R26">
        <f t="shared" ca="1" si="17"/>
        <v>1.2846919054683272</v>
      </c>
      <c r="S26">
        <f t="shared" ca="1" si="18"/>
        <v>0.87692001923058371</v>
      </c>
      <c r="T26">
        <f t="shared" ca="1" si="19"/>
        <v>0.98976343697432112</v>
      </c>
      <c r="U26">
        <f t="shared" ca="1" si="20"/>
        <v>0.98442384433439212</v>
      </c>
      <c r="V26">
        <f t="shared" ca="1" si="0"/>
        <v>10.787319165074052</v>
      </c>
    </row>
    <row r="27" spans="2:22" x14ac:dyDescent="0.25">
      <c r="B27" t="s">
        <v>76</v>
      </c>
      <c r="L27">
        <f t="shared" ca="1" si="10"/>
        <v>0.79395875595091558</v>
      </c>
      <c r="M27">
        <f t="shared" ca="1" si="11"/>
        <v>0.80214004028111707</v>
      </c>
      <c r="N27">
        <f t="shared" ca="1" si="12"/>
        <v>1.0253363570366714</v>
      </c>
      <c r="O27">
        <f t="shared" ca="1" si="13"/>
        <v>1.2168023141677367</v>
      </c>
      <c r="P27">
        <f t="shared" ca="1" si="15"/>
        <v>0.98717454575758623</v>
      </c>
      <c r="Q27">
        <f t="shared" ca="1" si="16"/>
        <v>0.93883940533152987</v>
      </c>
      <c r="R27">
        <f t="shared" ca="1" si="17"/>
        <v>1.2846919054683272</v>
      </c>
      <c r="S27">
        <f t="shared" ca="1" si="18"/>
        <v>0.87692001923058371</v>
      </c>
      <c r="T27">
        <f t="shared" ca="1" si="19"/>
        <v>0.98976343697432112</v>
      </c>
      <c r="U27">
        <f t="shared" ca="1" si="20"/>
        <v>0.98442384433439212</v>
      </c>
      <c r="V27">
        <f t="shared" ca="1" si="0"/>
        <v>9.900050624533181</v>
      </c>
    </row>
    <row r="28" spans="2:22" x14ac:dyDescent="0.25">
      <c r="B28" t="s">
        <v>77</v>
      </c>
      <c r="M28">
        <f t="shared" ca="1" si="11"/>
        <v>0.80214004028111707</v>
      </c>
      <c r="N28">
        <f t="shared" ca="1" si="12"/>
        <v>1.0253363570366714</v>
      </c>
      <c r="O28">
        <f t="shared" ca="1" si="13"/>
        <v>1.2168023141677367</v>
      </c>
      <c r="P28">
        <f t="shared" ca="1" si="15"/>
        <v>0.98717454575758623</v>
      </c>
      <c r="Q28">
        <f t="shared" ca="1" si="16"/>
        <v>0.93883940533152987</v>
      </c>
      <c r="R28">
        <f t="shared" ca="1" si="17"/>
        <v>1.2846919054683272</v>
      </c>
      <c r="S28">
        <f t="shared" ca="1" si="18"/>
        <v>0.87692001923058371</v>
      </c>
      <c r="T28">
        <f t="shared" ca="1" si="19"/>
        <v>0.98976343697432112</v>
      </c>
      <c r="U28">
        <f t="shared" ca="1" si="20"/>
        <v>0.98442384433439212</v>
      </c>
      <c r="V28">
        <f t="shared" ca="1" si="0"/>
        <v>9.1060918685822649</v>
      </c>
    </row>
    <row r="29" spans="2:22" x14ac:dyDescent="0.25">
      <c r="B29" t="s">
        <v>78</v>
      </c>
      <c r="N29">
        <f t="shared" ca="1" si="12"/>
        <v>1.0253363570366714</v>
      </c>
      <c r="O29">
        <f t="shared" ca="1" si="13"/>
        <v>1.2168023141677367</v>
      </c>
      <c r="P29">
        <f t="shared" ca="1" si="15"/>
        <v>0.98717454575758623</v>
      </c>
      <c r="Q29">
        <f t="shared" ca="1" si="16"/>
        <v>0.93883940533152987</v>
      </c>
      <c r="R29">
        <f t="shared" ca="1" si="17"/>
        <v>1.2846919054683272</v>
      </c>
      <c r="S29">
        <f t="shared" ca="1" si="18"/>
        <v>0.87692001923058371</v>
      </c>
      <c r="T29">
        <f t="shared" ca="1" si="19"/>
        <v>0.98976343697432112</v>
      </c>
      <c r="U29">
        <f t="shared" ca="1" si="20"/>
        <v>0.98442384433439212</v>
      </c>
      <c r="V29">
        <f t="shared" ca="1" si="0"/>
        <v>8.3039518283011482</v>
      </c>
    </row>
    <row r="30" spans="2:22" x14ac:dyDescent="0.25">
      <c r="B30" t="s">
        <v>79</v>
      </c>
      <c r="O30">
        <f t="shared" ca="1" si="13"/>
        <v>1.2168023141677367</v>
      </c>
      <c r="P30">
        <f t="shared" ca="1" si="15"/>
        <v>0.98717454575758623</v>
      </c>
      <c r="Q30">
        <f t="shared" ca="1" si="16"/>
        <v>0.93883940533152987</v>
      </c>
      <c r="R30">
        <f t="shared" ca="1" si="17"/>
        <v>1.2846919054683272</v>
      </c>
      <c r="S30">
        <f t="shared" ca="1" si="18"/>
        <v>0.87692001923058371</v>
      </c>
      <c r="T30">
        <f t="shared" ca="1" si="19"/>
        <v>0.98976343697432112</v>
      </c>
      <c r="U30">
        <f t="shared" ca="1" si="20"/>
        <v>0.98442384433439212</v>
      </c>
      <c r="V30">
        <f t="shared" ca="1" si="0"/>
        <v>7.2786154712644766</v>
      </c>
    </row>
    <row r="31" spans="2:22" x14ac:dyDescent="0.25">
      <c r="B31" t="s">
        <v>80</v>
      </c>
      <c r="P31">
        <f t="shared" ca="1" si="15"/>
        <v>0.98717454575758623</v>
      </c>
      <c r="Q31">
        <f t="shared" ca="1" si="16"/>
        <v>0.93883940533152987</v>
      </c>
      <c r="R31">
        <f t="shared" ca="1" si="17"/>
        <v>1.2846919054683272</v>
      </c>
      <c r="S31">
        <f t="shared" ca="1" si="18"/>
        <v>0.87692001923058371</v>
      </c>
      <c r="T31">
        <f t="shared" ca="1" si="19"/>
        <v>0.98976343697432112</v>
      </c>
      <c r="U31">
        <f t="shared" ca="1" si="20"/>
        <v>0.98442384433439212</v>
      </c>
      <c r="V31">
        <f t="shared" ca="1" si="0"/>
        <v>6.06181315709674</v>
      </c>
    </row>
    <row r="32" spans="2:22" x14ac:dyDescent="0.25">
      <c r="B32" t="s">
        <v>81</v>
      </c>
      <c r="Q32">
        <f t="shared" ca="1" si="16"/>
        <v>0.93883940533152987</v>
      </c>
      <c r="R32">
        <f t="shared" ca="1" si="17"/>
        <v>1.2846919054683272</v>
      </c>
      <c r="S32">
        <f t="shared" ca="1" si="18"/>
        <v>0.87692001923058371</v>
      </c>
      <c r="T32">
        <f t="shared" ca="1" si="19"/>
        <v>0.98976343697432112</v>
      </c>
      <c r="U32">
        <f t="shared" ca="1" si="20"/>
        <v>0.98442384433439212</v>
      </c>
      <c r="V32">
        <f t="shared" ca="1" si="0"/>
        <v>5.0746386113391537</v>
      </c>
    </row>
    <row r="33" spans="2:22" x14ac:dyDescent="0.25">
      <c r="B33" t="s">
        <v>82</v>
      </c>
      <c r="R33">
        <f t="shared" ca="1" si="17"/>
        <v>1.2846919054683272</v>
      </c>
      <c r="S33">
        <f t="shared" ca="1" si="18"/>
        <v>0.87692001923058371</v>
      </c>
      <c r="T33">
        <f t="shared" ca="1" si="19"/>
        <v>0.98976343697432112</v>
      </c>
      <c r="U33">
        <f t="shared" ca="1" si="20"/>
        <v>0.98442384433439212</v>
      </c>
      <c r="V33">
        <f t="shared" ca="1" si="0"/>
        <v>4.1357992060076239</v>
      </c>
    </row>
    <row r="34" spans="2:22" x14ac:dyDescent="0.25">
      <c r="S34">
        <f t="shared" ca="1" si="18"/>
        <v>0.87692001923058371</v>
      </c>
      <c r="T34">
        <f t="shared" ca="1" si="19"/>
        <v>0.98976343697432112</v>
      </c>
      <c r="U34">
        <f t="shared" ca="1" si="20"/>
        <v>0.98442384433439212</v>
      </c>
      <c r="V34">
        <f t="shared" ca="1" si="0"/>
        <v>2.8511073005392968</v>
      </c>
    </row>
    <row r="35" spans="2:22" x14ac:dyDescent="0.25">
      <c r="T35">
        <f t="shared" ca="1" si="19"/>
        <v>0.98976343697432112</v>
      </c>
      <c r="U35">
        <f t="shared" ca="1" si="20"/>
        <v>0.98442384433439212</v>
      </c>
      <c r="V35">
        <f t="shared" ca="1" si="0"/>
        <v>1.9741872813087133</v>
      </c>
    </row>
    <row r="36" spans="2:22" x14ac:dyDescent="0.25">
      <c r="U36">
        <f t="shared" ca="1" si="20"/>
        <v>0.98442384433439212</v>
      </c>
      <c r="V36">
        <f t="shared" ca="1" si="20"/>
        <v>0.98442384433439212</v>
      </c>
    </row>
    <row r="37" spans="2:22" x14ac:dyDescent="0.25">
      <c r="C37">
        <f t="shared" ref="C37:U37" ca="1" si="21">SUM(C4:C35)</f>
        <v>22.546700123329369</v>
      </c>
      <c r="D37">
        <f t="shared" ca="1" si="21"/>
        <v>52.32575792223286</v>
      </c>
      <c r="E37">
        <f t="shared" ca="1" si="21"/>
        <v>225.79284378157897</v>
      </c>
      <c r="F37">
        <f t="shared" ca="1" si="21"/>
        <v>201.94127312956996</v>
      </c>
      <c r="G37">
        <f t="shared" ca="1" si="21"/>
        <v>64.624104590072704</v>
      </c>
      <c r="H37">
        <f t="shared" ca="1" si="21"/>
        <v>13.727747973165958</v>
      </c>
      <c r="I37">
        <f t="shared" ca="1" si="21"/>
        <v>10.963493005322047</v>
      </c>
      <c r="J37">
        <f t="shared" ca="1" si="21"/>
        <v>10.677509628530284</v>
      </c>
      <c r="K37">
        <f t="shared" ca="1" si="21"/>
        <v>13.309028108113063</v>
      </c>
      <c r="L37">
        <f t="shared" ca="1" si="21"/>
        <v>11.909381339263737</v>
      </c>
      <c r="M37">
        <f t="shared" ca="1" si="21"/>
        <v>12.032100604216753</v>
      </c>
      <c r="N37">
        <f t="shared" ca="1" si="21"/>
        <v>15.380045355550072</v>
      </c>
      <c r="O37">
        <f t="shared" ca="1" si="21"/>
        <v>18.25203471251605</v>
      </c>
      <c r="P37">
        <f t="shared" ca="1" si="21"/>
        <v>14.807618186363793</v>
      </c>
      <c r="Q37">
        <f t="shared" ca="1" si="21"/>
        <v>14.082591079972948</v>
      </c>
      <c r="R37">
        <f t="shared" ca="1" si="21"/>
        <v>19.270378582024907</v>
      </c>
      <c r="S37">
        <f t="shared" ca="1" si="21"/>
        <v>13.153800288458754</v>
      </c>
      <c r="T37">
        <f t="shared" ca="1" si="21"/>
        <v>14.846451554614822</v>
      </c>
      <c r="U37">
        <f t="shared" ca="1" si="21"/>
        <v>13.781933820681489</v>
      </c>
      <c r="V37">
        <f ca="1">SUM(V4:V36)</f>
        <v>764.40921762991286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"/>
  <sheetViews>
    <sheetView workbookViewId="0">
      <selection activeCell="W12" sqref="W12:X12"/>
    </sheetView>
  </sheetViews>
  <sheetFormatPr defaultRowHeight="15" x14ac:dyDescent="0.25"/>
  <cols>
    <col min="1" max="1" width="4.28515625" customWidth="1"/>
    <col min="2" max="2" width="36.42578125" customWidth="1"/>
    <col min="3" max="3" width="6" customWidth="1"/>
    <col min="4" max="4" width="6.85546875" customWidth="1"/>
    <col min="5" max="5" width="6.42578125" customWidth="1"/>
    <col min="6" max="6" width="6.85546875" customWidth="1"/>
    <col min="7" max="18" width="9.5703125" bestFit="1" customWidth="1"/>
    <col min="19" max="21" width="9.28515625" bestFit="1" customWidth="1"/>
  </cols>
  <sheetData>
    <row r="1" spans="2:27" x14ac:dyDescent="0.25">
      <c r="B1" s="2" t="s">
        <v>99</v>
      </c>
    </row>
    <row r="2" spans="2:27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</row>
    <row r="3" spans="2:27" x14ac:dyDescent="0.25">
      <c r="B3" s="2" t="s">
        <v>97</v>
      </c>
      <c r="C3" s="1"/>
      <c r="D3" s="27">
        <f>+Folha0!E26</f>
        <v>0</v>
      </c>
      <c r="E3" s="1"/>
      <c r="F3" s="1"/>
      <c r="G3" s="28">
        <f>+D3-G8</f>
        <v>0</v>
      </c>
      <c r="H3" s="28">
        <f>+G3-H8</f>
        <v>0</v>
      </c>
      <c r="I3" s="28">
        <f t="shared" ref="I3:U3" si="0">+H3-I8</f>
        <v>0</v>
      </c>
      <c r="J3" s="28">
        <f t="shared" si="0"/>
        <v>0</v>
      </c>
      <c r="K3" s="28">
        <f t="shared" si="0"/>
        <v>0</v>
      </c>
      <c r="L3" s="28">
        <f t="shared" si="0"/>
        <v>0</v>
      </c>
      <c r="M3" s="28">
        <f t="shared" si="0"/>
        <v>0</v>
      </c>
      <c r="N3" s="28">
        <f t="shared" si="0"/>
        <v>0</v>
      </c>
      <c r="O3" s="28">
        <f t="shared" si="0"/>
        <v>0</v>
      </c>
      <c r="P3" s="28">
        <f t="shared" si="0"/>
        <v>0</v>
      </c>
      <c r="Q3" s="28">
        <f t="shared" si="0"/>
        <v>0</v>
      </c>
      <c r="R3" s="28">
        <f t="shared" si="0"/>
        <v>0</v>
      </c>
      <c r="S3" s="28">
        <f t="shared" si="0"/>
        <v>0</v>
      </c>
      <c r="T3" s="28">
        <f t="shared" si="0"/>
        <v>0</v>
      </c>
      <c r="U3" s="28">
        <f t="shared" si="0"/>
        <v>0</v>
      </c>
      <c r="V3" s="28"/>
      <c r="W3" s="28"/>
      <c r="X3" s="28"/>
      <c r="Y3" s="1"/>
      <c r="Z3" s="1"/>
      <c r="AA3" s="1"/>
    </row>
    <row r="4" spans="2:27" x14ac:dyDescent="0.25">
      <c r="B4" t="s">
        <v>102</v>
      </c>
      <c r="C4" s="1"/>
      <c r="D4" s="1">
        <f>+(Folha0!$C$27+Folha0!$C$28)*$D$3/2</f>
        <v>0</v>
      </c>
      <c r="E4" s="1">
        <f>+(Folha0!$C$27+Folha0!$C$28)*$D$3</f>
        <v>0</v>
      </c>
      <c r="F4" s="1">
        <f>+(Folha0!$C$27+Folha0!$C$28)*$D$3</f>
        <v>0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1"/>
      <c r="Z4" s="1"/>
      <c r="AA4" s="1"/>
    </row>
    <row r="5" spans="2:27" x14ac:dyDescent="0.25">
      <c r="B5" t="s">
        <v>96</v>
      </c>
      <c r="C5" s="1"/>
      <c r="D5" s="1"/>
      <c r="E5" s="1"/>
      <c r="F5" s="1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1"/>
      <c r="Z5" s="1"/>
      <c r="AA5" s="1"/>
    </row>
    <row r="6" spans="2:27" x14ac:dyDescent="0.25">
      <c r="B6" t="s">
        <v>98</v>
      </c>
      <c r="C6" s="1"/>
      <c r="D6" s="1"/>
      <c r="E6" s="1"/>
      <c r="F6" s="1"/>
      <c r="G6" s="28">
        <f>+$D$3*(Folha0!$C$27+Folha0!$C$28)/(1-1/(1+(Folha0!$C$27+Folha0!$C$28))^Folha0!$C$29)</f>
        <v>0</v>
      </c>
      <c r="H6" s="28">
        <f>+$D$3*(Folha0!$C$27+Folha0!$C$28)/(1-1/(1+(Folha0!$C$27+Folha0!$C$28))^Folha0!$C$29)</f>
        <v>0</v>
      </c>
      <c r="I6" s="28">
        <f>+$D$3*(Folha0!$C$27+Folha0!$C$28)/(1-1/(1+(Folha0!$C$27+Folha0!$C$28))^Folha0!$C$29)</f>
        <v>0</v>
      </c>
      <c r="J6" s="28">
        <f>+$D$3*(Folha0!$C$27+Folha0!$C$28)/(1-1/(1+(Folha0!$C$27+Folha0!$C$28))^Folha0!$C$29)</f>
        <v>0</v>
      </c>
      <c r="K6" s="28">
        <f>+$D$3*(Folha0!$C$27+Folha0!$C$28)/(1-1/(1+(Folha0!$C$27+Folha0!$C$28))^Folha0!$C$29)</f>
        <v>0</v>
      </c>
      <c r="L6" s="28">
        <f>+$D$3*(Folha0!$C$27+Folha0!$C$28)/(1-1/(1+(Folha0!$C$27+Folha0!$C$28))^Folha0!$C$29)</f>
        <v>0</v>
      </c>
      <c r="M6" s="28">
        <f>+$D$3*(Folha0!$C$27+Folha0!$C$28)/(1-1/(1+(Folha0!$C$27+Folha0!$C$28))^Folha0!$C$29)</f>
        <v>0</v>
      </c>
      <c r="N6" s="28">
        <f>+$D$3*(Folha0!$C$27+Folha0!$C$28)/(1-1/(1+(Folha0!$C$27+Folha0!$C$28))^Folha0!$C$29)</f>
        <v>0</v>
      </c>
      <c r="O6" s="28">
        <f>+$D$3*(Folha0!$C$27+Folha0!$C$28)/(1-1/(1+(Folha0!$C$27+Folha0!$C$28))^Folha0!$C$29)</f>
        <v>0</v>
      </c>
      <c r="P6" s="28">
        <f>+$D$3*(Folha0!$C$27+Folha0!$C$28)/(1-1/(1+(Folha0!$C$27+Folha0!$C$28))^Folha0!$C$29)</f>
        <v>0</v>
      </c>
      <c r="Q6" s="28">
        <f>+$D$3*(Folha0!$C$27+Folha0!$C$28)/(1-1/(1+(Folha0!$C$27+Folha0!$C$28))^Folha0!$C$29)</f>
        <v>0</v>
      </c>
      <c r="R6" s="28">
        <f>+$D$3*(Folha0!$C$27+Folha0!$C$28)/(1-1/(1+(Folha0!$C$27+Folha0!$C$28))^Folha0!$C$29)</f>
        <v>0</v>
      </c>
      <c r="S6" s="28">
        <f>+$D$3*(Folha0!$C$27+Folha0!$C$28)/(1-1/(1+(Folha0!$C$27+Folha0!$C$28))^Folha0!$C$29)</f>
        <v>0</v>
      </c>
      <c r="T6" s="28">
        <f>+$D$3*(Folha0!$C$27+Folha0!$C$28)/(1-1/(1+(Folha0!$C$27+Folha0!$C$28))^Folha0!$C$29)</f>
        <v>0</v>
      </c>
      <c r="U6" s="28">
        <f>+$D$3*(Folha0!$C$27+Folha0!$C$28)/(1-1/(1+(Folha0!$C$27+Folha0!$C$28))^Folha0!$C$29)</f>
        <v>0</v>
      </c>
      <c r="V6" s="28"/>
      <c r="W6" s="28"/>
      <c r="X6" s="28"/>
      <c r="Y6" s="1"/>
      <c r="Z6" s="1"/>
      <c r="AA6" s="1"/>
    </row>
    <row r="7" spans="2:27" x14ac:dyDescent="0.25">
      <c r="B7" t="s">
        <v>103</v>
      </c>
      <c r="C7" s="1"/>
      <c r="D7" s="1"/>
      <c r="E7" s="1"/>
      <c r="F7" s="1"/>
      <c r="G7" s="28">
        <f>+(Folha0!$C$27+Folha0!$C$28)*$D$3</f>
        <v>0</v>
      </c>
      <c r="H7" s="28">
        <f>+(Folha0!$C$27+Folha0!$C$28)*G3</f>
        <v>0</v>
      </c>
      <c r="I7" s="28">
        <f>+(Folha0!$C$27+Folha0!$C$28)*H3</f>
        <v>0</v>
      </c>
      <c r="J7" s="28">
        <f>+(Folha0!$C$27+Folha0!$C$28)*I3</f>
        <v>0</v>
      </c>
      <c r="K7" s="28">
        <f>+(Folha0!$C$27+Folha0!$C$28)*J3</f>
        <v>0</v>
      </c>
      <c r="L7" s="28">
        <f>+(Folha0!$C$27+Folha0!$C$28)*K3</f>
        <v>0</v>
      </c>
      <c r="M7" s="28">
        <f>+(Folha0!$C$27+Folha0!$C$28)*L3</f>
        <v>0</v>
      </c>
      <c r="N7" s="28">
        <f>+(Folha0!$C$27+Folha0!$C$28)*M3</f>
        <v>0</v>
      </c>
      <c r="O7" s="28">
        <f>+(Folha0!$C$27+Folha0!$C$28)*N3</f>
        <v>0</v>
      </c>
      <c r="P7" s="28">
        <f>+(Folha0!$C$27+Folha0!$C$28)*O3</f>
        <v>0</v>
      </c>
      <c r="Q7" s="28">
        <f>+(Folha0!$C$27+Folha0!$C$28)*P3</f>
        <v>0</v>
      </c>
      <c r="R7" s="28">
        <f>+(Folha0!$C$27+Folha0!$C$28)*Q3</f>
        <v>0</v>
      </c>
      <c r="S7" s="28">
        <f>+(Folha0!$C$27+Folha0!$C$28)*R3</f>
        <v>0</v>
      </c>
      <c r="T7" s="28">
        <f>+(Folha0!$C$27+Folha0!$C$28)*S3</f>
        <v>0</v>
      </c>
      <c r="U7" s="28">
        <f>+(Folha0!$C$27+Folha0!$C$28)*T3</f>
        <v>0</v>
      </c>
      <c r="V7" s="28"/>
      <c r="W7" s="28"/>
      <c r="X7" s="28"/>
      <c r="Y7" s="1"/>
      <c r="Z7" s="1"/>
      <c r="AA7" s="1"/>
    </row>
    <row r="8" spans="2:27" x14ac:dyDescent="0.25">
      <c r="B8" t="s">
        <v>104</v>
      </c>
      <c r="C8" s="1"/>
      <c r="D8" s="1"/>
      <c r="E8" s="1"/>
      <c r="F8" s="1"/>
      <c r="G8" s="28">
        <f>+G6-G7</f>
        <v>0</v>
      </c>
      <c r="H8" s="28">
        <f>+H6-H7</f>
        <v>0</v>
      </c>
      <c r="I8" s="28">
        <f t="shared" ref="I8:U8" si="1">+I6-I7</f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1"/>
        <v>0</v>
      </c>
      <c r="P8" s="28">
        <f t="shared" si="1"/>
        <v>0</v>
      </c>
      <c r="Q8" s="28">
        <f t="shared" si="1"/>
        <v>0</v>
      </c>
      <c r="R8" s="28">
        <f t="shared" si="1"/>
        <v>0</v>
      </c>
      <c r="S8" s="28">
        <f t="shared" si="1"/>
        <v>0</v>
      </c>
      <c r="T8" s="28">
        <f t="shared" si="1"/>
        <v>0</v>
      </c>
      <c r="U8" s="28">
        <f t="shared" si="1"/>
        <v>0</v>
      </c>
      <c r="V8" s="28"/>
      <c r="W8" s="28"/>
      <c r="X8" s="28"/>
      <c r="Y8" s="1"/>
      <c r="Z8" s="1"/>
      <c r="AA8" s="1"/>
    </row>
    <row r="9" spans="2:27" x14ac:dyDescent="0.25">
      <c r="C9" s="1"/>
      <c r="D9" s="1"/>
      <c r="E9" s="1"/>
      <c r="F9" s="1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1"/>
      <c r="Z9" s="1"/>
      <c r="AA9" s="1"/>
    </row>
    <row r="10" spans="2:27" x14ac:dyDescent="0.25">
      <c r="B10" s="2" t="s">
        <v>100</v>
      </c>
      <c r="C10" s="1"/>
      <c r="D10" s="1"/>
      <c r="E10" s="27">
        <f>+Folha0!F26</f>
        <v>0</v>
      </c>
      <c r="F10" s="1"/>
      <c r="G10" s="28">
        <f>+E10-G15</f>
        <v>0</v>
      </c>
      <c r="H10" s="28">
        <f t="shared" ref="H10:U10" si="2">+G10-H15</f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28">
        <f t="shared" si="2"/>
        <v>0</v>
      </c>
      <c r="O10" s="28">
        <f t="shared" si="2"/>
        <v>0</v>
      </c>
      <c r="P10" s="28">
        <f t="shared" si="2"/>
        <v>0</v>
      </c>
      <c r="Q10" s="28">
        <f t="shared" si="2"/>
        <v>0</v>
      </c>
      <c r="R10" s="28">
        <f t="shared" si="2"/>
        <v>0</v>
      </c>
      <c r="S10" s="28">
        <f t="shared" si="2"/>
        <v>0</v>
      </c>
      <c r="T10" s="28">
        <f t="shared" si="2"/>
        <v>0</v>
      </c>
      <c r="U10" s="28">
        <f t="shared" si="2"/>
        <v>0</v>
      </c>
      <c r="V10" s="28"/>
      <c r="W10" s="28"/>
      <c r="X10" s="28"/>
      <c r="Y10" s="1"/>
      <c r="Z10" s="1"/>
      <c r="AA10" s="1"/>
    </row>
    <row r="11" spans="2:27" x14ac:dyDescent="0.25">
      <c r="B11" t="s">
        <v>102</v>
      </c>
      <c r="C11" s="1"/>
      <c r="D11" s="1"/>
      <c r="E11" s="1">
        <f>+(+Folha0!$C$27+Folha0!$C$28)*$E$10/2</f>
        <v>0</v>
      </c>
      <c r="F11" s="1">
        <f>+(+Folha0!$C$27+Folha0!$C$28)*$E$10</f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1"/>
      <c r="Z11" s="1"/>
      <c r="AA11" s="1"/>
    </row>
    <row r="12" spans="2:27" x14ac:dyDescent="0.25">
      <c r="B12" t="s">
        <v>96</v>
      </c>
      <c r="C12" s="1"/>
      <c r="D12" s="1"/>
      <c r="E12" s="1"/>
      <c r="F12" s="1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1"/>
      <c r="W12" s="1"/>
      <c r="X12" s="1"/>
      <c r="Y12" s="1"/>
      <c r="Z12" s="1"/>
      <c r="AA12" s="1"/>
    </row>
    <row r="13" spans="2:27" x14ac:dyDescent="0.25">
      <c r="B13" t="s">
        <v>98</v>
      </c>
      <c r="C13" s="1"/>
      <c r="D13" s="1"/>
      <c r="E13" s="1"/>
      <c r="F13" s="1"/>
      <c r="G13" s="28">
        <f>+$E$10*(Folha0!$C$27+Folha0!$C$28)/(1-1/(1+(Folha0!$C$27+Folha0!$C$28))^Folha0!$C$29)</f>
        <v>0</v>
      </c>
      <c r="H13" s="28">
        <f>+$E$10*(Folha0!$C$27+Folha0!$C$28)/(1-1/(1+(Folha0!$C$27+Folha0!$C$28))^Folha0!$C$29)</f>
        <v>0</v>
      </c>
      <c r="I13" s="28">
        <f>+$E$10*(Folha0!$C$27+Folha0!$C$28)/(1-1/(1+(Folha0!$C$27+Folha0!$C$28))^Folha0!$C$29)</f>
        <v>0</v>
      </c>
      <c r="J13" s="28">
        <f>+$E$10*(Folha0!$C$27+Folha0!$C$28)/(1-1/(1+(Folha0!$C$27+Folha0!$C$28))^Folha0!$C$29)</f>
        <v>0</v>
      </c>
      <c r="K13" s="28">
        <f>+$E$10*(Folha0!$C$27+Folha0!$C$28)/(1-1/(1+(Folha0!$C$27+Folha0!$C$28))^Folha0!$C$29)</f>
        <v>0</v>
      </c>
      <c r="L13" s="28">
        <f>+$E$10*(Folha0!$C$27+Folha0!$C$28)/(1-1/(1+(Folha0!$C$27+Folha0!$C$28))^Folha0!$C$29)</f>
        <v>0</v>
      </c>
      <c r="M13" s="28">
        <f>+$E$10*(Folha0!$C$27+Folha0!$C$28)/(1-1/(1+(Folha0!$C$27+Folha0!$C$28))^Folha0!$C$29)</f>
        <v>0</v>
      </c>
      <c r="N13" s="28">
        <f>+$E$10*(Folha0!$C$27+Folha0!$C$28)/(1-1/(1+(Folha0!$C$27+Folha0!$C$28))^Folha0!$C$29)</f>
        <v>0</v>
      </c>
      <c r="O13" s="28">
        <f>+$E$10*(Folha0!$C$27+Folha0!$C$28)/(1-1/(1+(Folha0!$C$27+Folha0!$C$28))^Folha0!$C$29)</f>
        <v>0</v>
      </c>
      <c r="P13" s="28">
        <f>+$E$10*(Folha0!$C$27+Folha0!$C$28)/(1-1/(1+(Folha0!$C$27+Folha0!$C$28))^Folha0!$C$29)</f>
        <v>0</v>
      </c>
      <c r="Q13" s="28">
        <f>+$E$10*(Folha0!$C$27+Folha0!$C$28)/(1-1/(1+(Folha0!$C$27+Folha0!$C$28))^Folha0!$C$29)</f>
        <v>0</v>
      </c>
      <c r="R13" s="28">
        <f>+$E$10*(Folha0!$C$27+Folha0!$C$28)/(1-1/(1+(Folha0!$C$27+Folha0!$C$28))^Folha0!$C$29)</f>
        <v>0</v>
      </c>
      <c r="S13" s="28">
        <f>+$E$10*(Folha0!$C$27+Folha0!$C$28)/(1-1/(1+(Folha0!$C$27+Folha0!$C$28))^Folha0!$C$29)</f>
        <v>0</v>
      </c>
      <c r="T13" s="28">
        <f>+$E$10*(Folha0!$C$27+Folha0!$C$28)/(1-1/(1+(Folha0!$C$27+Folha0!$C$28))^Folha0!$C$29)</f>
        <v>0</v>
      </c>
      <c r="U13" s="28">
        <f>+$E$10*(Folha0!$C$27+Folha0!$C$28)/(1-1/(1+(Folha0!$C$27+Folha0!$C$28))^Folha0!$C$29)</f>
        <v>0</v>
      </c>
      <c r="V13" s="1"/>
      <c r="W13" s="1"/>
      <c r="X13" s="1"/>
      <c r="Y13" s="1"/>
      <c r="Z13" s="1"/>
      <c r="AA13" s="1"/>
    </row>
    <row r="14" spans="2:27" x14ac:dyDescent="0.25">
      <c r="B14" t="s">
        <v>103</v>
      </c>
      <c r="C14" s="1"/>
      <c r="D14" s="1"/>
      <c r="E14" s="1"/>
      <c r="F14" s="1"/>
      <c r="G14" s="28">
        <f>+(Folha0!$C$27+Folha0!$C$28)*$E$10</f>
        <v>0</v>
      </c>
      <c r="H14" s="28">
        <f>+(Folha0!$C$27+Folha0!$C$28)*G10</f>
        <v>0</v>
      </c>
      <c r="I14" s="28">
        <f>+(Folha0!$C$27+Folha0!$C$28)*H10</f>
        <v>0</v>
      </c>
      <c r="J14" s="28">
        <f>+(Folha0!$C$27+Folha0!$C$28)*I10</f>
        <v>0</v>
      </c>
      <c r="K14" s="28">
        <f>+(Folha0!$C$27+Folha0!$C$28)*J10</f>
        <v>0</v>
      </c>
      <c r="L14" s="28">
        <f>+(Folha0!$C$27+Folha0!$C$28)*K10</f>
        <v>0</v>
      </c>
      <c r="M14" s="28">
        <f>+(Folha0!$C$27+Folha0!$C$28)*L10</f>
        <v>0</v>
      </c>
      <c r="N14" s="28">
        <f>+(Folha0!$C$27+Folha0!$C$28)*M10</f>
        <v>0</v>
      </c>
      <c r="O14" s="28">
        <f>+(Folha0!$C$27+Folha0!$C$28)*N10</f>
        <v>0</v>
      </c>
      <c r="P14" s="28">
        <f>+(Folha0!$C$27+Folha0!$C$28)*O10</f>
        <v>0</v>
      </c>
      <c r="Q14" s="28">
        <f>+(Folha0!$C$27+Folha0!$C$28)*P10</f>
        <v>0</v>
      </c>
      <c r="R14" s="28">
        <f>+(Folha0!$C$27+Folha0!$C$28)*Q10</f>
        <v>0</v>
      </c>
      <c r="S14" s="28">
        <f>+(Folha0!$C$27+Folha0!$C$28)*R10</f>
        <v>0</v>
      </c>
      <c r="T14" s="28">
        <f>+(Folha0!$C$27+Folha0!$C$28)*S10</f>
        <v>0</v>
      </c>
      <c r="U14" s="28">
        <f>+(Folha0!$C$27+Folha0!$C$28)*T10</f>
        <v>0</v>
      </c>
      <c r="V14" s="1"/>
      <c r="W14" s="1"/>
      <c r="X14" s="1"/>
      <c r="Y14" s="1"/>
      <c r="Z14" s="1"/>
      <c r="AA14" s="1"/>
    </row>
    <row r="15" spans="2:27" x14ac:dyDescent="0.25">
      <c r="B15" t="s">
        <v>104</v>
      </c>
      <c r="C15" s="1"/>
      <c r="D15" s="1"/>
      <c r="E15" s="1"/>
      <c r="G15" s="28">
        <f>+G13-G14</f>
        <v>0</v>
      </c>
      <c r="H15" s="28">
        <f>+H13-H14</f>
        <v>0</v>
      </c>
      <c r="I15" s="28">
        <f t="shared" ref="I15" si="3">+I13-I14</f>
        <v>0</v>
      </c>
      <c r="J15" s="28">
        <f t="shared" ref="J15" si="4">+J13-J14</f>
        <v>0</v>
      </c>
      <c r="K15" s="28">
        <f t="shared" ref="K15" si="5">+K13-K14</f>
        <v>0</v>
      </c>
      <c r="L15" s="28">
        <f t="shared" ref="L15" si="6">+L13-L14</f>
        <v>0</v>
      </c>
      <c r="M15" s="28">
        <f t="shared" ref="M15" si="7">+M13-M14</f>
        <v>0</v>
      </c>
      <c r="N15" s="28">
        <f t="shared" ref="N15" si="8">+N13-N14</f>
        <v>0</v>
      </c>
      <c r="O15" s="28">
        <f t="shared" ref="O15" si="9">+O13-O14</f>
        <v>0</v>
      </c>
      <c r="P15" s="28">
        <f t="shared" ref="P15" si="10">+P13-P14</f>
        <v>0</v>
      </c>
      <c r="Q15" s="28">
        <f t="shared" ref="Q15" si="11">+Q13-Q14</f>
        <v>0</v>
      </c>
      <c r="R15" s="28">
        <f t="shared" ref="R15" si="12">+R13-R14</f>
        <v>0</v>
      </c>
      <c r="S15" s="28">
        <f t="shared" ref="S15" si="13">+S13-S14</f>
        <v>0</v>
      </c>
      <c r="T15" s="28">
        <f t="shared" ref="T15" si="14">+T13-T14</f>
        <v>0</v>
      </c>
      <c r="U15" s="28">
        <f t="shared" ref="U15" si="15">+U13-U14</f>
        <v>0</v>
      </c>
      <c r="V15" s="1"/>
      <c r="W15" s="1"/>
      <c r="X15" s="1"/>
      <c r="Y15" s="1"/>
      <c r="Z15" s="1"/>
      <c r="AA15" s="1"/>
    </row>
    <row r="16" spans="2:27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2" t="s">
        <v>101</v>
      </c>
      <c r="C17" s="1"/>
      <c r="D17" s="1"/>
      <c r="E17" s="1"/>
      <c r="F17" s="27">
        <f>+Folha0!G26</f>
        <v>0</v>
      </c>
      <c r="G17" s="28">
        <f>+F17-G22</f>
        <v>0</v>
      </c>
      <c r="H17" s="28">
        <f t="shared" ref="H17:U17" si="16">+G17-H22</f>
        <v>0</v>
      </c>
      <c r="I17" s="28">
        <f t="shared" si="16"/>
        <v>0</v>
      </c>
      <c r="J17" s="28">
        <f t="shared" si="16"/>
        <v>0</v>
      </c>
      <c r="K17" s="28">
        <f t="shared" si="16"/>
        <v>0</v>
      </c>
      <c r="L17" s="28">
        <f t="shared" si="16"/>
        <v>0</v>
      </c>
      <c r="M17" s="28">
        <f t="shared" si="16"/>
        <v>0</v>
      </c>
      <c r="N17" s="28">
        <f t="shared" si="16"/>
        <v>0</v>
      </c>
      <c r="O17" s="28">
        <f t="shared" si="16"/>
        <v>0</v>
      </c>
      <c r="P17" s="28">
        <f t="shared" si="16"/>
        <v>0</v>
      </c>
      <c r="Q17" s="28">
        <f t="shared" si="16"/>
        <v>0</v>
      </c>
      <c r="R17" s="28">
        <f t="shared" si="16"/>
        <v>0</v>
      </c>
      <c r="S17" s="28">
        <f t="shared" si="16"/>
        <v>0</v>
      </c>
      <c r="T17" s="28">
        <f t="shared" si="16"/>
        <v>0</v>
      </c>
      <c r="U17" s="28">
        <f t="shared" si="16"/>
        <v>0</v>
      </c>
      <c r="V17" s="1"/>
      <c r="W17" s="1"/>
      <c r="X17" s="1"/>
      <c r="Y17" s="1"/>
      <c r="Z17" s="1"/>
      <c r="AA17" s="1"/>
    </row>
    <row r="18" spans="2:27" x14ac:dyDescent="0.25">
      <c r="B18" t="s">
        <v>102</v>
      </c>
      <c r="C18" s="1"/>
      <c r="D18" s="1"/>
      <c r="E18" s="1"/>
      <c r="F18" s="1">
        <f>+(Folha0!$C$27+Folha0!$C$28)*Folha3!F17/2</f>
        <v>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1"/>
      <c r="W18" s="1"/>
      <c r="X18" s="1"/>
      <c r="Y18" s="1"/>
      <c r="Z18" s="1"/>
      <c r="AA18" s="1"/>
    </row>
    <row r="19" spans="2:27" x14ac:dyDescent="0.25">
      <c r="B19" t="s">
        <v>96</v>
      </c>
      <c r="C19" s="1"/>
      <c r="D19" s="1"/>
      <c r="E19" s="1"/>
      <c r="F19" s="1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1"/>
      <c r="W19" s="1"/>
      <c r="X19" s="1"/>
      <c r="Y19" s="1"/>
      <c r="Z19" s="1"/>
      <c r="AA19" s="1"/>
    </row>
    <row r="20" spans="2:27" x14ac:dyDescent="0.25">
      <c r="B20" t="s">
        <v>98</v>
      </c>
      <c r="C20" s="1"/>
      <c r="D20" s="1"/>
      <c r="E20" s="1"/>
      <c r="F20" s="1"/>
      <c r="G20" s="28">
        <f>+$F$17*(Folha0!$C$27+Folha0!$C$28)/(1-1/(1+(Folha0!$C$27+Folha0!$C$28))^Folha0!$C$29)</f>
        <v>0</v>
      </c>
      <c r="H20" s="28">
        <f>+$F$17*(Folha0!$C$27+Folha0!$C$28)/(1-1/(1+(Folha0!$C$27+Folha0!$C$28))^Folha0!$C$29)</f>
        <v>0</v>
      </c>
      <c r="I20" s="28">
        <f>+$F$17*(Folha0!$C$27+Folha0!$C$28)/(1-1/(1+(Folha0!$C$27+Folha0!$C$28))^Folha0!$C$29)</f>
        <v>0</v>
      </c>
      <c r="J20" s="28">
        <f>+$F$17*(Folha0!$C$27+Folha0!$C$28)/(1-1/(1+(Folha0!$C$27+Folha0!$C$28))^Folha0!$C$29)</f>
        <v>0</v>
      </c>
      <c r="K20" s="28">
        <f>+$F$17*(Folha0!$C$27+Folha0!$C$28)/(1-1/(1+(Folha0!$C$27+Folha0!$C$28))^Folha0!$C$29)</f>
        <v>0</v>
      </c>
      <c r="L20" s="28">
        <f>+$F$17*(Folha0!$C$27+Folha0!$C$28)/(1-1/(1+(Folha0!$C$27+Folha0!$C$28))^Folha0!$C$29)</f>
        <v>0</v>
      </c>
      <c r="M20" s="28">
        <f>+$F$17*(Folha0!$C$27+Folha0!$C$28)/(1-1/(1+(Folha0!$C$27+Folha0!$C$28))^Folha0!$C$29)</f>
        <v>0</v>
      </c>
      <c r="N20" s="28">
        <f>+$F$17*(Folha0!$C$27+Folha0!$C$28)/(1-1/(1+(Folha0!$C$27+Folha0!$C$28))^Folha0!$C$29)</f>
        <v>0</v>
      </c>
      <c r="O20" s="28">
        <f>+$F$17*(Folha0!$C$27+Folha0!$C$28)/(1-1/(1+(Folha0!$C$27+Folha0!$C$28))^Folha0!$C$29)</f>
        <v>0</v>
      </c>
      <c r="P20" s="28">
        <f>+$F$17*(Folha0!$C$27+Folha0!$C$28)/(1-1/(1+(Folha0!$C$27+Folha0!$C$28))^Folha0!$C$29)</f>
        <v>0</v>
      </c>
      <c r="Q20" s="28">
        <f>+$F$17*(Folha0!$C$27+Folha0!$C$28)/(1-1/(1+(Folha0!$C$27+Folha0!$C$28))^Folha0!$C$29)</f>
        <v>0</v>
      </c>
      <c r="R20" s="28">
        <f>+$F$17*(Folha0!$C$27+Folha0!$C$28)/(1-1/(1+(Folha0!$C$27+Folha0!$C$28))^Folha0!$C$29)</f>
        <v>0</v>
      </c>
      <c r="S20" s="28">
        <f>+$F$17*(Folha0!$C$27+Folha0!$C$28)/(1-1/(1+(Folha0!$C$27+Folha0!$C$28))^Folha0!$C$29)</f>
        <v>0</v>
      </c>
      <c r="T20" s="28">
        <f>+$F$17*(Folha0!$C$27+Folha0!$C$28)/(1-1/(1+(Folha0!$C$27+Folha0!$C$28))^Folha0!$C$29)</f>
        <v>0</v>
      </c>
      <c r="U20" s="28">
        <f>+$F$17*(Folha0!$C$27+Folha0!$C$28)/(1-1/(1+(Folha0!$C$27+Folha0!$C$28))^Folha0!$C$29)</f>
        <v>0</v>
      </c>
      <c r="V20" s="1"/>
      <c r="W20" s="1"/>
      <c r="X20" s="1"/>
      <c r="Y20" s="1"/>
      <c r="Z20" s="1"/>
      <c r="AA20" s="1"/>
    </row>
    <row r="21" spans="2:27" x14ac:dyDescent="0.25">
      <c r="B21" t="s">
        <v>103</v>
      </c>
      <c r="C21" s="1"/>
      <c r="D21" s="1"/>
      <c r="E21" s="1"/>
      <c r="F21" s="1"/>
      <c r="G21" s="28">
        <f>+(Folha0!$C$27+Folha0!$C$28)*F17</f>
        <v>0</v>
      </c>
      <c r="H21" s="28">
        <f>+(Folha0!$C$27+Folha0!$C$28)*G17</f>
        <v>0</v>
      </c>
      <c r="I21" s="28">
        <f>+(Folha0!$C$27+Folha0!$C$28)*H17</f>
        <v>0</v>
      </c>
      <c r="J21" s="28">
        <f>+(Folha0!$C$27+Folha0!$C$28)*I17</f>
        <v>0</v>
      </c>
      <c r="K21" s="28">
        <f>+(Folha0!$C$27+Folha0!$C$28)*J17</f>
        <v>0</v>
      </c>
      <c r="L21" s="28">
        <f>+(Folha0!$C$27+Folha0!$C$28)*K17</f>
        <v>0</v>
      </c>
      <c r="M21" s="28">
        <f>+(Folha0!$C$27+Folha0!$C$28)*L17</f>
        <v>0</v>
      </c>
      <c r="N21" s="28">
        <f>+(Folha0!$C$27+Folha0!$C$28)*M17</f>
        <v>0</v>
      </c>
      <c r="O21" s="28">
        <f>+(Folha0!$C$27+Folha0!$C$28)*N17</f>
        <v>0</v>
      </c>
      <c r="P21" s="28">
        <f>+(Folha0!$C$27+Folha0!$C$28)*O17</f>
        <v>0</v>
      </c>
      <c r="Q21" s="28">
        <f>+(Folha0!$C$27+Folha0!$C$28)*P17</f>
        <v>0</v>
      </c>
      <c r="R21" s="28">
        <f>+(Folha0!$C$27+Folha0!$C$28)*Q17</f>
        <v>0</v>
      </c>
      <c r="S21" s="28">
        <f>+(Folha0!$C$27+Folha0!$C$28)*R17</f>
        <v>0</v>
      </c>
      <c r="T21" s="28">
        <f>+(Folha0!$C$27+Folha0!$C$28)*S17</f>
        <v>0</v>
      </c>
      <c r="U21" s="28">
        <f>+(Folha0!$C$27+Folha0!$C$28)*T17</f>
        <v>0</v>
      </c>
      <c r="V21" s="1"/>
      <c r="W21" s="1"/>
      <c r="X21" s="1"/>
      <c r="Y21" s="1"/>
      <c r="Z21" s="1"/>
      <c r="AA21" s="1"/>
    </row>
    <row r="22" spans="2:27" x14ac:dyDescent="0.25">
      <c r="B22" t="s">
        <v>104</v>
      </c>
      <c r="C22" s="1"/>
      <c r="D22" s="1"/>
      <c r="E22" s="1"/>
      <c r="F22" s="1"/>
      <c r="G22" s="28">
        <f>+G20-G21</f>
        <v>0</v>
      </c>
      <c r="H22" s="28">
        <f>+H20-H21</f>
        <v>0</v>
      </c>
      <c r="I22" s="28">
        <f t="shared" ref="I22" si="17">+I20-I21</f>
        <v>0</v>
      </c>
      <c r="J22" s="28">
        <f t="shared" ref="J22" si="18">+J20-J21</f>
        <v>0</v>
      </c>
      <c r="K22" s="28">
        <f t="shared" ref="K22" si="19">+K20-K21</f>
        <v>0</v>
      </c>
      <c r="L22" s="28">
        <f t="shared" ref="L22" si="20">+L20-L21</f>
        <v>0</v>
      </c>
      <c r="M22" s="28">
        <f t="shared" ref="M22" si="21">+M20-M21</f>
        <v>0</v>
      </c>
      <c r="N22" s="28">
        <f t="shared" ref="N22" si="22">+N20-N21</f>
        <v>0</v>
      </c>
      <c r="O22" s="28">
        <f t="shared" ref="O22" si="23">+O20-O21</f>
        <v>0</v>
      </c>
      <c r="P22" s="28">
        <f t="shared" ref="P22" si="24">+P20-P21</f>
        <v>0</v>
      </c>
      <c r="Q22" s="28">
        <f t="shared" ref="Q22" si="25">+Q20-Q21</f>
        <v>0</v>
      </c>
      <c r="R22" s="28">
        <f t="shared" ref="R22" si="26">+R20-R21</f>
        <v>0</v>
      </c>
      <c r="S22" s="28">
        <f t="shared" ref="S22" si="27">+S20-S21</f>
        <v>0</v>
      </c>
      <c r="T22" s="28">
        <f t="shared" ref="T22" si="28">+T20-T21</f>
        <v>0</v>
      </c>
      <c r="U22" s="28">
        <f t="shared" ref="U22" si="29">+U20-U21</f>
        <v>0</v>
      </c>
      <c r="V22" s="1"/>
      <c r="W22" s="1"/>
      <c r="X22" s="1"/>
      <c r="Y22" s="1"/>
      <c r="Z22" s="1"/>
      <c r="AA22" s="1"/>
    </row>
    <row r="23" spans="2:27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33"/>
  <sheetViews>
    <sheetView workbookViewId="0">
      <selection activeCell="H17" sqref="H17"/>
    </sheetView>
  </sheetViews>
  <sheetFormatPr defaultRowHeight="15" x14ac:dyDescent="0.25"/>
  <cols>
    <col min="1" max="1" width="4.5703125" customWidth="1"/>
    <col min="2" max="2" width="26.7109375" customWidth="1"/>
    <col min="3" max="24" width="9.42578125" bestFit="1" customWidth="1"/>
    <col min="25" max="25" width="10.140625" customWidth="1"/>
    <col min="26" max="28" width="9.42578125" bestFit="1" customWidth="1"/>
    <col min="29" max="30" width="10" customWidth="1"/>
    <col min="31" max="31" width="10.28515625" customWidth="1"/>
    <col min="32" max="32" width="9.85546875" customWidth="1"/>
    <col min="33" max="33" width="10.140625" customWidth="1"/>
    <col min="34" max="34" width="11" customWidth="1"/>
    <col min="35" max="35" width="10.7109375" customWidth="1"/>
    <col min="36" max="36" width="11" customWidth="1"/>
    <col min="37" max="37" width="10.140625" bestFit="1" customWidth="1"/>
    <col min="38" max="38" width="11" customWidth="1"/>
  </cols>
  <sheetData>
    <row r="1" spans="2:39" x14ac:dyDescent="0.25">
      <c r="B1" s="2" t="s">
        <v>111</v>
      </c>
      <c r="C1" s="2"/>
      <c r="D1" s="2"/>
      <c r="E1" s="2"/>
    </row>
    <row r="2" spans="2:39" x14ac:dyDescent="0.25"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  <c r="O2" s="1" t="s">
        <v>64</v>
      </c>
      <c r="P2" s="1" t="s">
        <v>65</v>
      </c>
      <c r="Q2" s="1" t="s">
        <v>66</v>
      </c>
      <c r="R2" s="1" t="s">
        <v>67</v>
      </c>
      <c r="S2" s="1" t="s">
        <v>68</v>
      </c>
      <c r="T2" s="1" t="s">
        <v>69</v>
      </c>
      <c r="U2" s="1" t="s">
        <v>70</v>
      </c>
      <c r="V2" s="1" t="s">
        <v>71</v>
      </c>
      <c r="W2" s="1" t="s">
        <v>72</v>
      </c>
      <c r="X2" s="1" t="s">
        <v>73</v>
      </c>
      <c r="Y2" s="1" t="s">
        <v>74</v>
      </c>
      <c r="Z2" s="1" t="s">
        <v>75</v>
      </c>
      <c r="AA2" s="1" t="s">
        <v>76</v>
      </c>
      <c r="AB2" s="1" t="s">
        <v>77</v>
      </c>
      <c r="AC2" s="1" t="s">
        <v>78</v>
      </c>
      <c r="AD2" s="1" t="s">
        <v>79</v>
      </c>
      <c r="AE2" s="1" t="s">
        <v>80</v>
      </c>
      <c r="AF2" s="1" t="s">
        <v>81</v>
      </c>
      <c r="AG2" s="1" t="s">
        <v>82</v>
      </c>
      <c r="AH2" s="1" t="s">
        <v>106</v>
      </c>
      <c r="AI2" s="1" t="s">
        <v>107</v>
      </c>
      <c r="AJ2" s="1" t="s">
        <v>108</v>
      </c>
      <c r="AK2" s="1" t="s">
        <v>109</v>
      </c>
      <c r="AL2" s="1"/>
      <c r="AM2" s="1"/>
    </row>
    <row r="3" spans="2:39" x14ac:dyDescent="0.25">
      <c r="B3" s="4" t="s">
        <v>110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2:39" x14ac:dyDescent="0.25">
      <c r="B4" t="s">
        <v>112</v>
      </c>
      <c r="C4" s="35">
        <f ca="1">IF(C29&lt;0,0,C29)</f>
        <v>22.546700123329366</v>
      </c>
      <c r="D4" s="35">
        <f t="shared" ref="D4:AK4" ca="1" si="0">IF(D29&lt;0,0,D29)</f>
        <v>52.325757922232853</v>
      </c>
      <c r="E4" s="35">
        <f t="shared" ca="1" si="0"/>
        <v>225.79284378157888</v>
      </c>
      <c r="F4" s="35">
        <f t="shared" ca="1" si="0"/>
        <v>201.94127312957005</v>
      </c>
      <c r="G4" s="35">
        <f t="shared" ca="1" si="0"/>
        <v>23.778789425161008</v>
      </c>
      <c r="H4" s="35">
        <f t="shared" ca="1" si="0"/>
        <v>0</v>
      </c>
      <c r="I4" s="35">
        <f t="shared" ca="1" si="0"/>
        <v>0</v>
      </c>
      <c r="J4" s="35">
        <f t="shared" ca="1" si="0"/>
        <v>0</v>
      </c>
      <c r="K4" s="35">
        <f t="shared" ca="1" si="0"/>
        <v>0</v>
      </c>
      <c r="L4" s="35">
        <f t="shared" ca="1" si="0"/>
        <v>0</v>
      </c>
      <c r="M4" s="35">
        <f t="shared" ca="1" si="0"/>
        <v>0</v>
      </c>
      <c r="N4" s="35">
        <f t="shared" ca="1" si="0"/>
        <v>0</v>
      </c>
      <c r="O4" s="35">
        <f t="shared" ca="1" si="0"/>
        <v>0</v>
      </c>
      <c r="P4" s="35">
        <f t="shared" ca="1" si="0"/>
        <v>0</v>
      </c>
      <c r="Q4" s="35">
        <f t="shared" ca="1" si="0"/>
        <v>0</v>
      </c>
      <c r="R4" s="35">
        <f t="shared" ca="1" si="0"/>
        <v>0</v>
      </c>
      <c r="S4" s="35">
        <f t="shared" ca="1" si="0"/>
        <v>0</v>
      </c>
      <c r="T4" s="35">
        <f t="shared" ca="1" si="0"/>
        <v>0</v>
      </c>
      <c r="U4" s="35">
        <f t="shared" ca="1" si="0"/>
        <v>0</v>
      </c>
      <c r="V4" s="35">
        <f t="shared" ca="1" si="0"/>
        <v>0</v>
      </c>
      <c r="W4" s="35">
        <f t="shared" ca="1" si="0"/>
        <v>0</v>
      </c>
      <c r="X4" s="35">
        <f t="shared" ca="1" si="0"/>
        <v>0</v>
      </c>
      <c r="Y4" s="35">
        <f t="shared" ca="1" si="0"/>
        <v>0</v>
      </c>
      <c r="Z4" s="35">
        <f t="shared" ca="1" si="0"/>
        <v>0</v>
      </c>
      <c r="AA4" s="35">
        <f t="shared" ca="1" si="0"/>
        <v>0</v>
      </c>
      <c r="AB4" s="35">
        <f t="shared" ca="1" si="0"/>
        <v>0</v>
      </c>
      <c r="AC4" s="35">
        <f t="shared" ca="1" si="0"/>
        <v>0</v>
      </c>
      <c r="AD4" s="35">
        <f t="shared" ca="1" si="0"/>
        <v>0</v>
      </c>
      <c r="AE4" s="35">
        <f t="shared" ca="1" si="0"/>
        <v>0</v>
      </c>
      <c r="AF4" s="35">
        <f t="shared" ca="1" si="0"/>
        <v>0</v>
      </c>
      <c r="AG4" s="35">
        <f t="shared" ca="1" si="0"/>
        <v>0</v>
      </c>
      <c r="AH4" s="35">
        <f t="shared" ca="1" si="0"/>
        <v>0</v>
      </c>
      <c r="AI4" s="35">
        <f t="shared" ca="1" si="0"/>
        <v>0</v>
      </c>
      <c r="AJ4" s="35">
        <f t="shared" ca="1" si="0"/>
        <v>0</v>
      </c>
      <c r="AK4" s="35">
        <f t="shared" ca="1" si="0"/>
        <v>0</v>
      </c>
      <c r="AL4" s="35">
        <f ca="1">SUM(C4:AK4)</f>
        <v>526.38536438187214</v>
      </c>
      <c r="AM4" s="1"/>
    </row>
    <row r="5" spans="2:39" x14ac:dyDescent="0.25">
      <c r="B5" s="33" t="s">
        <v>123</v>
      </c>
      <c r="C5" s="35">
        <f ca="1">+Folha1!C12</f>
        <v>0</v>
      </c>
      <c r="D5" s="35">
        <f ca="1">+Folha1!D12</f>
        <v>0</v>
      </c>
      <c r="E5" s="35">
        <f ca="1">+Folha1!E12</f>
        <v>0</v>
      </c>
      <c r="F5" s="35">
        <f ca="1">+Folha1!F12</f>
        <v>0</v>
      </c>
      <c r="G5" s="35">
        <f ca="1">+Folha1!G12</f>
        <v>17.118156230455746</v>
      </c>
      <c r="H5" s="35">
        <f ca="1">+Folha1!H12</f>
        <v>23.717350673587319</v>
      </c>
      <c r="I5" s="35">
        <f ca="1">+Folha1!I12</f>
        <v>39.444890397822185</v>
      </c>
      <c r="J5" s="35">
        <f ca="1">+Folha1!J12</f>
        <v>89.624660762015452</v>
      </c>
      <c r="K5" s="35">
        <f ca="1">+Folha1!K12</f>
        <v>86.034990842586424</v>
      </c>
      <c r="L5" s="35">
        <f ca="1">+Folha1!L12</f>
        <v>137.21719177086885</v>
      </c>
      <c r="M5" s="35">
        <f ca="1">+Folha1!M12</f>
        <v>152.24362174369173</v>
      </c>
      <c r="N5" s="35">
        <f ca="1">+Folha1!N12</f>
        <v>202.16349513888252</v>
      </c>
      <c r="O5" s="35">
        <f ca="1">+Folha1!O12</f>
        <v>185.43842292137316</v>
      </c>
      <c r="P5" s="35">
        <f ca="1">+Folha1!P12</f>
        <v>308.39640097292545</v>
      </c>
      <c r="Q5" s="35">
        <f ca="1">+Folha1!Q12</f>
        <v>248.29900635173982</v>
      </c>
      <c r="R5" s="35">
        <f ca="1">+Folha1!R12</f>
        <v>266.44782642293814</v>
      </c>
      <c r="S5" s="35">
        <f ca="1">+Folha1!S12</f>
        <v>255.25710413439134</v>
      </c>
      <c r="T5" s="35">
        <f ca="1">+Folha1!T12</f>
        <v>311.88874107153276</v>
      </c>
      <c r="U5" s="35">
        <f ca="1">+Folha1!U12</f>
        <v>315.02768341952486</v>
      </c>
      <c r="V5" s="35">
        <f ca="1">+Folha1!V12</f>
        <v>342.0159843692727</v>
      </c>
      <c r="W5" s="35">
        <f ca="1">+Folha1!W12</f>
        <v>317.00004984232686</v>
      </c>
      <c r="X5" s="35">
        <f ca="1">+Folha1!X12</f>
        <v>366.66315009980053</v>
      </c>
      <c r="Y5" s="35">
        <f ca="1">+Folha1!Y12</f>
        <v>443.46814886723939</v>
      </c>
      <c r="Z5" s="35">
        <f ca="1">+Folha1!Z12</f>
        <v>389.42523417187505</v>
      </c>
      <c r="AA5" s="35">
        <f ca="1">+Folha1!AA12</f>
        <v>367.27114972756993</v>
      </c>
      <c r="AB5" s="35">
        <f ca="1">+Folha1!AB12</f>
        <v>373.34572025996641</v>
      </c>
      <c r="AC5" s="35">
        <f ca="1">+Folha1!AC12</f>
        <v>328.43470536455243</v>
      </c>
      <c r="AD5" s="35">
        <f ca="1">+Folha1!AD12</f>
        <v>292.71904762511093</v>
      </c>
      <c r="AE5" s="35">
        <f ca="1">+Folha1!AE12</f>
        <v>326.8886539951954</v>
      </c>
      <c r="AF5" s="35">
        <f ca="1">+Folha1!AF12</f>
        <v>270.12073086261233</v>
      </c>
      <c r="AG5" s="35">
        <f ca="1">+Folha1!AG12</f>
        <v>235.38905922408503</v>
      </c>
      <c r="AH5" s="35">
        <f ca="1">+Folha1!AH12</f>
        <v>270.18161131130444</v>
      </c>
      <c r="AI5" s="35">
        <f ca="1">+Folha1!AI12</f>
        <v>191.82166155381208</v>
      </c>
      <c r="AJ5" s="35">
        <f ca="1">+Folha1!AJ12</f>
        <v>251.93282147525673</v>
      </c>
      <c r="AK5" s="35">
        <f ca="1">+Folha1!AK12</f>
        <v>169.99568839673145</v>
      </c>
      <c r="AL5" s="35">
        <f t="shared" ref="AL5:AL8" ca="1" si="1">SUM(C5:AK5)</f>
        <v>7574.9929600010473</v>
      </c>
      <c r="AM5" s="1"/>
    </row>
    <row r="6" spans="2:39" x14ac:dyDescent="0.25">
      <c r="B6" t="s">
        <v>42</v>
      </c>
      <c r="C6" s="35">
        <f>+Folha1!C11</f>
        <v>0</v>
      </c>
      <c r="D6" s="35">
        <f>+Folha1!D11</f>
        <v>0</v>
      </c>
      <c r="E6" s="35">
        <f>+Folha1!E11</f>
        <v>0</v>
      </c>
      <c r="F6" s="35">
        <f>+Folha1!F11</f>
        <v>0</v>
      </c>
      <c r="G6" s="35">
        <f ca="1">+Folha1!G11</f>
        <v>33.507104997114077</v>
      </c>
      <c r="H6" s="35">
        <f ca="1">+Folha1!H11</f>
        <v>37.815378636452252</v>
      </c>
      <c r="I6" s="35">
        <f ca="1">+Folha1!I11</f>
        <v>38.730561834663312</v>
      </c>
      <c r="J6" s="35">
        <f ca="1">+Folha1!J11</f>
        <v>39.461461368351451</v>
      </c>
      <c r="K6" s="35">
        <f ca="1">+Folha1!K11</f>
        <v>40.173295343586801</v>
      </c>
      <c r="L6" s="35">
        <f ca="1">+Folha1!L11</f>
        <v>41.060563884127674</v>
      </c>
      <c r="M6" s="35">
        <f ca="1">+Folha1!M11</f>
        <v>41.854522640078592</v>
      </c>
      <c r="N6" s="35">
        <f ca="1">+Folha1!N11</f>
        <v>42.656662680359709</v>
      </c>
      <c r="O6" s="35">
        <f ca="1">+Folha1!O11</f>
        <v>43.68199903739638</v>
      </c>
      <c r="P6" s="35">
        <f ca="1">+Folha1!P11</f>
        <v>44.898801351564117</v>
      </c>
      <c r="Q6" s="35">
        <f ca="1">+Folha1!Q11</f>
        <v>45.8859758973217</v>
      </c>
      <c r="R6" s="35">
        <f ca="1">+Folha1!R11</f>
        <v>46.824815302653228</v>
      </c>
      <c r="S6" s="35">
        <f ca="1">+Folha1!S11</f>
        <v>48.109507208121556</v>
      </c>
      <c r="T6" s="35">
        <f ca="1">+Folha1!T11</f>
        <v>48.986427227352138</v>
      </c>
      <c r="U6" s="35">
        <f ca="1">+Folha1!U11</f>
        <v>49.97619066432646</v>
      </c>
      <c r="V6" s="35">
        <f ca="1">+Folha1!V11</f>
        <v>17.45350951154678</v>
      </c>
      <c r="W6" s="35">
        <f ca="1">+Folha1!W11</f>
        <v>13.145235872208604</v>
      </c>
      <c r="X6" s="35">
        <f ca="1">+Folha1!X11</f>
        <v>12.230052673997539</v>
      </c>
      <c r="Y6" s="35">
        <f ca="1">+Folha1!Y11</f>
        <v>11.499153140309405</v>
      </c>
      <c r="Z6" s="35">
        <f ca="1">+Folha1!Z11</f>
        <v>10.787319165074052</v>
      </c>
      <c r="AA6" s="35">
        <f ca="1">+Folha1!AA11</f>
        <v>9.900050624533181</v>
      </c>
      <c r="AB6" s="35">
        <f ca="1">+Folha1!AB11</f>
        <v>9.1060918685822649</v>
      </c>
      <c r="AC6" s="35">
        <f ca="1">+Folha1!AC11</f>
        <v>8.3039518283011482</v>
      </c>
      <c r="AD6" s="35">
        <f ca="1">+Folha1!AD11</f>
        <v>7.2786154712644766</v>
      </c>
      <c r="AE6" s="35">
        <f ca="1">+Folha1!AE11</f>
        <v>6.06181315709674</v>
      </c>
      <c r="AF6" s="35">
        <f ca="1">+Folha1!AF11</f>
        <v>5.0746386113391537</v>
      </c>
      <c r="AG6" s="35">
        <f ca="1">+Folha1!AG11</f>
        <v>4.1357992060076239</v>
      </c>
      <c r="AH6" s="35">
        <f ca="1">+Folha1!AH11</f>
        <v>2.8511073005392968</v>
      </c>
      <c r="AI6" s="35">
        <f ca="1">+Folha1!AI11</f>
        <v>1.9741872813087133</v>
      </c>
      <c r="AJ6" s="35">
        <f ca="1">+Folha1!AJ11</f>
        <v>0.98442384433439212</v>
      </c>
      <c r="AK6" s="35">
        <f>+Folha1!AK11</f>
        <v>0</v>
      </c>
      <c r="AL6" s="35">
        <f t="shared" ca="1" si="1"/>
        <v>764.40921762991286</v>
      </c>
      <c r="AM6" s="1"/>
    </row>
    <row r="7" spans="2:39" x14ac:dyDescent="0.25">
      <c r="B7" t="s">
        <v>113</v>
      </c>
      <c r="C7" s="35">
        <f>+Folha3!C3+Folha3!C10+Folha3!C17</f>
        <v>0</v>
      </c>
      <c r="D7" s="35">
        <f>+Folha3!D3+Folha3!D11+Folha3!D17</f>
        <v>0</v>
      </c>
      <c r="E7" s="35">
        <f>+Folha3!E3+Folha3!E10+Folha3!E18</f>
        <v>0</v>
      </c>
      <c r="F7" s="35">
        <f>+Folha3!F3+Folha3!F10+Folha3!F17</f>
        <v>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1"/>
    </row>
    <row r="8" spans="2:39" x14ac:dyDescent="0.25">
      <c r="B8" s="34" t="s">
        <v>83</v>
      </c>
      <c r="C8" s="35">
        <f ca="1">+SUM(C4:C7)</f>
        <v>22.546700123329366</v>
      </c>
      <c r="D8" s="35">
        <f t="shared" ref="D8:AK8" ca="1" si="2">+SUM(D4:D7)</f>
        <v>52.325757922232853</v>
      </c>
      <c r="E8" s="35">
        <f t="shared" ca="1" si="2"/>
        <v>225.79284378157888</v>
      </c>
      <c r="F8" s="35">
        <f t="shared" ca="1" si="2"/>
        <v>201.94127312957005</v>
      </c>
      <c r="G8" s="35">
        <f t="shared" ca="1" si="2"/>
        <v>74.404050652730831</v>
      </c>
      <c r="H8" s="35">
        <f t="shared" ca="1" si="2"/>
        <v>61.532729310039571</v>
      </c>
      <c r="I8" s="35">
        <f t="shared" ca="1" si="2"/>
        <v>78.175452232485497</v>
      </c>
      <c r="J8" s="35">
        <f t="shared" ca="1" si="2"/>
        <v>129.0861221303669</v>
      </c>
      <c r="K8" s="35">
        <f t="shared" ca="1" si="2"/>
        <v>126.20828618617323</v>
      </c>
      <c r="L8" s="35">
        <f t="shared" ca="1" si="2"/>
        <v>178.27775565499653</v>
      </c>
      <c r="M8" s="35">
        <f t="shared" ca="1" si="2"/>
        <v>194.09814438377032</v>
      </c>
      <c r="N8" s="35">
        <f t="shared" ca="1" si="2"/>
        <v>244.82015781924224</v>
      </c>
      <c r="O8" s="35">
        <f t="shared" ca="1" si="2"/>
        <v>229.12042195876955</v>
      </c>
      <c r="P8" s="35">
        <f t="shared" ca="1" si="2"/>
        <v>353.29520232448954</v>
      </c>
      <c r="Q8" s="35">
        <f t="shared" ca="1" si="2"/>
        <v>294.18498224906153</v>
      </c>
      <c r="R8" s="35">
        <f t="shared" ca="1" si="2"/>
        <v>313.27264172559137</v>
      </c>
      <c r="S8" s="35">
        <f t="shared" ca="1" si="2"/>
        <v>303.3666113425129</v>
      </c>
      <c r="T8" s="35">
        <f t="shared" ca="1" si="2"/>
        <v>360.87516829888489</v>
      </c>
      <c r="U8" s="35">
        <f t="shared" ca="1" si="2"/>
        <v>365.00387408385131</v>
      </c>
      <c r="V8" s="35">
        <f t="shared" ca="1" si="2"/>
        <v>359.46949388081947</v>
      </c>
      <c r="W8" s="35">
        <f t="shared" ca="1" si="2"/>
        <v>330.14528571453548</v>
      </c>
      <c r="X8" s="35">
        <f t="shared" ca="1" si="2"/>
        <v>378.89320277379807</v>
      </c>
      <c r="Y8" s="35">
        <f t="shared" ca="1" si="2"/>
        <v>454.96730200754882</v>
      </c>
      <c r="Z8" s="35">
        <f t="shared" ca="1" si="2"/>
        <v>400.2125533369491</v>
      </c>
      <c r="AA8" s="35">
        <f t="shared" ca="1" si="2"/>
        <v>377.17120035210314</v>
      </c>
      <c r="AB8" s="35">
        <f t="shared" ca="1" si="2"/>
        <v>382.45181212854868</v>
      </c>
      <c r="AC8" s="35">
        <f t="shared" ca="1" si="2"/>
        <v>336.73865719285357</v>
      </c>
      <c r="AD8" s="35">
        <f t="shared" ca="1" si="2"/>
        <v>299.99766309637539</v>
      </c>
      <c r="AE8" s="35">
        <f t="shared" ca="1" si="2"/>
        <v>332.95046715229216</v>
      </c>
      <c r="AF8" s="35">
        <f t="shared" ca="1" si="2"/>
        <v>275.19536947395147</v>
      </c>
      <c r="AG8" s="35">
        <f t="shared" ca="1" si="2"/>
        <v>239.52485843009265</v>
      </c>
      <c r="AH8" s="35">
        <f t="shared" ca="1" si="2"/>
        <v>273.03271861184373</v>
      </c>
      <c r="AI8" s="35">
        <f t="shared" ca="1" si="2"/>
        <v>193.79584883512078</v>
      </c>
      <c r="AJ8" s="35">
        <f t="shared" ca="1" si="2"/>
        <v>252.91724531959113</v>
      </c>
      <c r="AK8" s="35">
        <f t="shared" ca="1" si="2"/>
        <v>169.99568839673145</v>
      </c>
      <c r="AL8" s="35">
        <f t="shared" ca="1" si="1"/>
        <v>8865.787542012833</v>
      </c>
      <c r="AM8" s="1"/>
    </row>
    <row r="9" spans="2:39" x14ac:dyDescent="0.25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1"/>
      <c r="AM9" s="1"/>
    </row>
    <row r="10" spans="2:39" x14ac:dyDescent="0.25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1"/>
      <c r="AM10" s="1"/>
    </row>
    <row r="11" spans="2:39" x14ac:dyDescent="0.25">
      <c r="B11" s="4" t="s">
        <v>114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1"/>
      <c r="AM11" s="1"/>
    </row>
    <row r="12" spans="2:39" x14ac:dyDescent="0.25">
      <c r="B12" t="s">
        <v>115</v>
      </c>
      <c r="C12" s="35">
        <f ca="1">+Folha1!C23</f>
        <v>22.546700123329366</v>
      </c>
      <c r="D12" s="35">
        <f ca="1">+Folha1!D23</f>
        <v>52.325757922232853</v>
      </c>
      <c r="E12" s="35">
        <f ca="1">+Folha1!E23</f>
        <v>225.79284378157888</v>
      </c>
      <c r="F12" s="35">
        <f ca="1">+Folha1!F23</f>
        <v>201.94127312957005</v>
      </c>
      <c r="G12" s="35">
        <f ca="1">+Folha1!G23</f>
        <v>64.624104590072676</v>
      </c>
      <c r="H12" s="35">
        <f ca="1">+Folha1!H23</f>
        <v>13.727747973165954</v>
      </c>
      <c r="I12" s="35">
        <f ca="1">+Folha1!I23</f>
        <v>10.96349300532205</v>
      </c>
      <c r="J12" s="35">
        <f ca="1">+Folha1!J23</f>
        <v>10.677509628530283</v>
      </c>
      <c r="K12" s="35">
        <f ca="1">+Folha1!K23</f>
        <v>13.309028108113059</v>
      </c>
      <c r="L12" s="35">
        <f ca="1">+Folha1!L23</f>
        <v>11.909381339263733</v>
      </c>
      <c r="M12" s="35">
        <f ca="1">+Folha1!M23</f>
        <v>12.032100604216756</v>
      </c>
      <c r="N12" s="35">
        <f ca="1">+Folha1!N23</f>
        <v>15.38004535555007</v>
      </c>
      <c r="O12" s="35">
        <f ca="1">+Folha1!O23</f>
        <v>18.25203471251605</v>
      </c>
      <c r="P12" s="35">
        <f ca="1">+Folha1!P23</f>
        <v>14.807618186363793</v>
      </c>
      <c r="Q12" s="35">
        <f ca="1">+Folha1!Q23</f>
        <v>14.082591079972948</v>
      </c>
      <c r="R12" s="35">
        <f ca="1">+Folha1!R23</f>
        <v>19.270378582024907</v>
      </c>
      <c r="S12" s="35">
        <f ca="1">+Folha1!S23</f>
        <v>13.153800288458756</v>
      </c>
      <c r="T12" s="35">
        <f ca="1">+Folha1!T23</f>
        <v>14.846451554614816</v>
      </c>
      <c r="U12" s="35">
        <f ca="1">+Folha1!U23</f>
        <v>14.766357665015882</v>
      </c>
      <c r="V12" s="35">
        <f ca="1">+Folha1!V23</f>
        <v>0</v>
      </c>
      <c r="W12" s="35">
        <f ca="1">+Folha1!W23</f>
        <v>0</v>
      </c>
      <c r="X12" s="35">
        <f ca="1">+Folha1!X23</f>
        <v>0</v>
      </c>
      <c r="Y12" s="35">
        <f ca="1">+Folha1!Y23</f>
        <v>0</v>
      </c>
      <c r="Z12" s="35">
        <f ca="1">+Folha1!Z23</f>
        <v>0</v>
      </c>
      <c r="AA12" s="35">
        <f ca="1">+Folha1!AA23</f>
        <v>0</v>
      </c>
      <c r="AB12" s="35">
        <f ca="1">+Folha1!AB23</f>
        <v>0</v>
      </c>
      <c r="AC12" s="35">
        <f ca="1">+Folha1!AC23</f>
        <v>0</v>
      </c>
      <c r="AD12" s="35">
        <f ca="1">+Folha1!AD23</f>
        <v>0</v>
      </c>
      <c r="AE12" s="35">
        <f ca="1">+Folha1!AE23</f>
        <v>0</v>
      </c>
      <c r="AF12" s="35">
        <f ca="1">+Folha1!AF23</f>
        <v>0</v>
      </c>
      <c r="AG12" s="35">
        <f ca="1">+Folha1!AG23</f>
        <v>0</v>
      </c>
      <c r="AH12" s="35">
        <f ca="1">+Folha1!AH23</f>
        <v>0</v>
      </c>
      <c r="AI12" s="35">
        <f ca="1">+Folha1!AI23</f>
        <v>0</v>
      </c>
      <c r="AJ12" s="35">
        <f ca="1">+Folha1!AJ23</f>
        <v>0</v>
      </c>
      <c r="AK12" s="35">
        <f ca="1">+Folha1!AK23</f>
        <v>105.61938598714795</v>
      </c>
      <c r="AL12" s="35">
        <f ca="1">SUM(C12:AK12)</f>
        <v>870.02860361706121</v>
      </c>
      <c r="AM12" s="1"/>
    </row>
    <row r="13" spans="2:39" x14ac:dyDescent="0.25">
      <c r="B13" t="s">
        <v>116</v>
      </c>
      <c r="C13" s="35">
        <f>+Folha1!C21</f>
        <v>0</v>
      </c>
      <c r="D13" s="35">
        <f>+Folha1!D21</f>
        <v>0</v>
      </c>
      <c r="E13" s="35">
        <f ca="1">+Folha1!E21</f>
        <v>0</v>
      </c>
      <c r="F13" s="35">
        <f ca="1">+Folha1!F21</f>
        <v>0</v>
      </c>
      <c r="G13" s="35">
        <f ca="1">+Folha1!G21</f>
        <v>4.644499193521427</v>
      </c>
      <c r="H13" s="35">
        <f ca="1">+Folha1!H21</f>
        <v>0.53703466118492571</v>
      </c>
      <c r="I13" s="35">
        <f ca="1">+Folha1!I21</f>
        <v>1.1235399113408215</v>
      </c>
      <c r="J13" s="35">
        <f ca="1">+Folha1!J21</f>
        <v>2.7626813466453441</v>
      </c>
      <c r="K13" s="35">
        <f ca="1">+Folha1!K21</f>
        <v>-0.38854516566723163</v>
      </c>
      <c r="L13" s="35">
        <f ca="1">+Folha1!L21</f>
        <v>3.3033554541567636</v>
      </c>
      <c r="M13" s="35">
        <f ca="1">+Folha1!M21</f>
        <v>0.9020467515584496</v>
      </c>
      <c r="N13" s="35">
        <f ca="1">+Folha1!N21</f>
        <v>2.7026061324244868</v>
      </c>
      <c r="O13" s="35">
        <f ca="1">+Folha1!O21</f>
        <v>-0.87654151178809059</v>
      </c>
      <c r="P13" s="35">
        <f ca="1">+Folha1!P21</f>
        <v>6.8245971075894154</v>
      </c>
      <c r="Q13" s="35">
        <f ca="1">+Folha1!Q21</f>
        <v>-3.1861285085136331</v>
      </c>
      <c r="R13" s="35">
        <f ca="1">+Folha1!R21</f>
        <v>0.79345629613619906</v>
      </c>
      <c r="S13" s="35">
        <f ca="1">+Folha1!S21</f>
        <v>-4.7451807639660615E-2</v>
      </c>
      <c r="T13" s="35">
        <f ca="1">+Folha1!T21</f>
        <v>2.8510568927403774</v>
      </c>
      <c r="U13" s="35">
        <f ca="1">+Folha1!U21</f>
        <v>0.18073788781990174</v>
      </c>
      <c r="V13" s="35">
        <f ca="1">+Folha1!V21</f>
        <v>0.28238465585334893</v>
      </c>
      <c r="W13" s="35">
        <f ca="1">+Folha1!W21</f>
        <v>-1.8151762035168666</v>
      </c>
      <c r="X13" s="35">
        <f ca="1">+Folha1!X21</f>
        <v>2.8266518004773253</v>
      </c>
      <c r="Y13" s="35">
        <f ca="1">+Folha1!Y21</f>
        <v>4.1706436413586765</v>
      </c>
      <c r="Z13" s="35">
        <f ca="1">+Folha1!Z21</f>
        <v>-2.5902691713836852</v>
      </c>
      <c r="AA13" s="35">
        <f ca="1">+Folha1!AA21</f>
        <v>-1.3254032345491105</v>
      </c>
      <c r="AB13" s="35">
        <f ca="1">+Folha1!AB21</f>
        <v>-4.625569875846125E-2</v>
      </c>
      <c r="AC13" s="35">
        <f ca="1">+Folha1!AC21</f>
        <v>-2.1485548766027591</v>
      </c>
      <c r="AD13" s="35">
        <f ca="1">+Folha1!AD21</f>
        <v>-2.0721580848563477</v>
      </c>
      <c r="AE13" s="35">
        <f ca="1">+Folha1!AE21</f>
        <v>2.3198293491117141</v>
      </c>
      <c r="AF13" s="35">
        <f ca="1">+Folha1!AF21</f>
        <v>-3.0454510793371163</v>
      </c>
      <c r="AG13" s="35">
        <f ca="1">+Folha1!AG21</f>
        <v>-2.5060551166987217</v>
      </c>
      <c r="AH13" s="35">
        <f ca="1">+Folha1!AH21</f>
        <v>2.2604460311180929</v>
      </c>
      <c r="AI13" s="35">
        <f ca="1">+Folha1!AI21</f>
        <v>-3.9135652798269049</v>
      </c>
      <c r="AJ13" s="35">
        <f ca="1">+Folha1!AJ21</f>
        <v>2.7034320354683494</v>
      </c>
      <c r="AK13" s="35">
        <f ca="1">+Folha1!AK21</f>
        <v>-17.22744340936703</v>
      </c>
      <c r="AL13" s="35">
        <f t="shared" ref="AL13:AL19" ca="1" si="3">SUM(C13:AK13)</f>
        <v>0</v>
      </c>
      <c r="AM13" s="1"/>
    </row>
    <row r="14" spans="2:39" x14ac:dyDescent="0.25">
      <c r="B14" t="s">
        <v>117</v>
      </c>
      <c r="C14" s="35">
        <f>+Folha3!C8+Folha3!C15+Folha3!C22</f>
        <v>0</v>
      </c>
      <c r="D14" s="35">
        <f>+Folha3!D8+Folha3!D15+Folha3!D22</f>
        <v>0</v>
      </c>
      <c r="E14" s="35">
        <f>+Folha3!E8+Folha3!E15+Folha3!E22</f>
        <v>0</v>
      </c>
      <c r="F14" s="35">
        <f>+Folha3!F8+Folha3!F15+Folha3!F22</f>
        <v>0</v>
      </c>
      <c r="G14" s="35">
        <f>+Folha3!G8+Folha3!G15+Folha3!G22</f>
        <v>0</v>
      </c>
      <c r="H14" s="35">
        <f>+Folha3!H8+Folha3!H15+Folha3!H22</f>
        <v>0</v>
      </c>
      <c r="I14" s="35">
        <f>+Folha3!I8+Folha3!I15+Folha3!I22</f>
        <v>0</v>
      </c>
      <c r="J14" s="35">
        <f>+Folha3!J8+Folha3!J15+Folha3!J22</f>
        <v>0</v>
      </c>
      <c r="K14" s="35">
        <f>+Folha3!K8+Folha3!K15+Folha3!K22</f>
        <v>0</v>
      </c>
      <c r="L14" s="35">
        <f>+Folha3!L8+Folha3!L15+Folha3!L22</f>
        <v>0</v>
      </c>
      <c r="M14" s="35">
        <f>+Folha3!M8+Folha3!M15+Folha3!M22</f>
        <v>0</v>
      </c>
      <c r="N14" s="35">
        <f>+Folha3!N8+Folha3!N15+Folha3!N22</f>
        <v>0</v>
      </c>
      <c r="O14" s="35">
        <f>+Folha3!O8+Folha3!O15+Folha3!O22</f>
        <v>0</v>
      </c>
      <c r="P14" s="35">
        <f>+Folha3!P8+Folha3!P15+Folha3!P22</f>
        <v>0</v>
      </c>
      <c r="Q14" s="35">
        <f>+Folha3!Q8+Folha3!Q15+Folha3!Q22</f>
        <v>0</v>
      </c>
      <c r="R14" s="35">
        <f>+Folha3!R8+Folha3!R15+Folha3!R22</f>
        <v>0</v>
      </c>
      <c r="S14" s="35">
        <f>+Folha3!S8+Folha3!S15+Folha3!S22</f>
        <v>0</v>
      </c>
      <c r="T14" s="35">
        <f>+Folha3!T8+Folha3!T15+Folha3!T22</f>
        <v>0</v>
      </c>
      <c r="U14" s="35">
        <f>+Folha3!U8+Folha3!U15+Folha3!U22</f>
        <v>0</v>
      </c>
      <c r="V14" s="35">
        <f>+Folha3!V8+Folha3!V15+Folha3!V22</f>
        <v>0</v>
      </c>
      <c r="W14" s="35">
        <f>+Folha3!W8+Folha3!W15+Folha3!W22</f>
        <v>0</v>
      </c>
      <c r="X14" s="35">
        <f>+Folha3!X8+Folha3!X15+Folha3!X22</f>
        <v>0</v>
      </c>
      <c r="Y14" s="35">
        <f>+Folha3!Y8+Folha3!Y15+Folha3!Y22</f>
        <v>0</v>
      </c>
      <c r="Z14" s="35">
        <f>+Folha3!Z8+Folha3!Z15+Folha3!Z22</f>
        <v>0</v>
      </c>
      <c r="AA14" s="35">
        <f>+Folha3!AA8+Folha3!AA15+Folha3!AA22</f>
        <v>0</v>
      </c>
      <c r="AB14" s="35">
        <f>+Folha3!AB8+Folha3!AB15+Folha3!AB22</f>
        <v>0</v>
      </c>
      <c r="AC14" s="35">
        <f>+Folha3!AC8+Folha3!AC15+Folha3!AC22</f>
        <v>0</v>
      </c>
      <c r="AD14" s="35">
        <f>+Folha3!AD8+Folha3!AD15+Folha3!AD22</f>
        <v>0</v>
      </c>
      <c r="AE14" s="35">
        <f>+Folha3!AE8+Folha3!AE15+Folha3!AE22</f>
        <v>0</v>
      </c>
      <c r="AF14" s="35">
        <f>+Folha3!AF8+Folha3!AF15+Folha3!AF22</f>
        <v>0</v>
      </c>
      <c r="AG14" s="35">
        <f>+Folha3!AG8+Folha3!AG15+Folha3!AG22</f>
        <v>0</v>
      </c>
      <c r="AH14" s="35">
        <f>+Folha3!AH8+Folha3!AH15+Folha3!AH22</f>
        <v>0</v>
      </c>
      <c r="AI14" s="35">
        <f>+Folha3!AI8+Folha3!AI15+Folha3!AI22</f>
        <v>0</v>
      </c>
      <c r="AJ14" s="35">
        <f>+Folha3!AJ8+Folha3!AJ15+Folha3!AJ22</f>
        <v>0</v>
      </c>
      <c r="AK14" s="35">
        <f>+Folha3!AK8+Folha3!AK15+Folha3!AK22</f>
        <v>0</v>
      </c>
      <c r="AL14" s="35">
        <f t="shared" si="3"/>
        <v>0</v>
      </c>
      <c r="AM14" s="1"/>
    </row>
    <row r="15" spans="2:39" x14ac:dyDescent="0.25">
      <c r="B15" t="s">
        <v>127</v>
      </c>
      <c r="C15" s="35">
        <f>+Folha1!C13</f>
        <v>0</v>
      </c>
      <c r="D15" s="35">
        <f>+Folha1!D13</f>
        <v>0</v>
      </c>
      <c r="E15" s="35">
        <f>+Folha1!E13</f>
        <v>0</v>
      </c>
      <c r="F15" s="35">
        <f>+Folha1!F13</f>
        <v>0</v>
      </c>
      <c r="G15" s="35">
        <f>+Folha1!G13</f>
        <v>0</v>
      </c>
      <c r="H15" s="35">
        <f>+Folha1!H13</f>
        <v>0</v>
      </c>
      <c r="I15" s="35">
        <f>+Folha1!I13</f>
        <v>0</v>
      </c>
      <c r="J15" s="35">
        <f>+Folha1!J13</f>
        <v>0</v>
      </c>
      <c r="K15" s="35">
        <f>+Folha1!K13</f>
        <v>0</v>
      </c>
      <c r="L15" s="35">
        <f>+Folha1!L13</f>
        <v>0</v>
      </c>
      <c r="M15" s="35">
        <f>+Folha1!M13</f>
        <v>0</v>
      </c>
      <c r="N15" s="35">
        <f>+Folha1!N13</f>
        <v>0</v>
      </c>
      <c r="O15" s="35">
        <f>+Folha1!O13</f>
        <v>0</v>
      </c>
      <c r="P15" s="35">
        <f>+Folha1!P13</f>
        <v>0</v>
      </c>
      <c r="Q15" s="35">
        <f>+Folha1!Q13</f>
        <v>0</v>
      </c>
      <c r="R15" s="35">
        <f>+Folha1!R13</f>
        <v>0</v>
      </c>
      <c r="S15" s="35">
        <f>+Folha1!S13</f>
        <v>0</v>
      </c>
      <c r="T15" s="35">
        <f>+Folha1!T13</f>
        <v>0</v>
      </c>
      <c r="U15" s="35">
        <f>+Folha1!U13</f>
        <v>0</v>
      </c>
      <c r="V15" s="35">
        <f>+Folha1!V13</f>
        <v>0</v>
      </c>
      <c r="W15" s="35">
        <f>+Folha1!W13</f>
        <v>0</v>
      </c>
      <c r="X15" s="35">
        <f>+Folha1!X13</f>
        <v>0</v>
      </c>
      <c r="Y15" s="35">
        <f>+Folha1!Y13</f>
        <v>0</v>
      </c>
      <c r="Z15" s="35">
        <f>+Folha1!Z13</f>
        <v>0</v>
      </c>
      <c r="AA15" s="35">
        <f>+Folha1!AA13</f>
        <v>0</v>
      </c>
      <c r="AB15" s="35">
        <f>+Folha1!AB13</f>
        <v>0</v>
      </c>
      <c r="AC15" s="35">
        <f>+Folha1!AC13</f>
        <v>0</v>
      </c>
      <c r="AD15" s="35">
        <f>+Folha1!AD13</f>
        <v>0</v>
      </c>
      <c r="AE15" s="35">
        <f>+Folha1!AE13</f>
        <v>0</v>
      </c>
      <c r="AF15" s="35">
        <f>+Folha1!AF13</f>
        <v>0</v>
      </c>
      <c r="AG15" s="35">
        <f>+Folha1!AG13</f>
        <v>0</v>
      </c>
      <c r="AH15" s="35">
        <f>+Folha1!AH13</f>
        <v>0</v>
      </c>
      <c r="AI15" s="35">
        <f>+Folha1!AI13</f>
        <v>0</v>
      </c>
      <c r="AJ15" s="35">
        <f>+Folha1!AJ13</f>
        <v>0</v>
      </c>
      <c r="AK15" s="35">
        <f>+Folha1!AK13</f>
        <v>0</v>
      </c>
      <c r="AL15" s="35">
        <f t="shared" si="3"/>
        <v>0</v>
      </c>
      <c r="AM15" s="1"/>
    </row>
    <row r="16" spans="2:39" x14ac:dyDescent="0.25">
      <c r="B16" t="s">
        <v>156</v>
      </c>
      <c r="C16" s="35">
        <f ca="1">+Folha1!C15</f>
        <v>0</v>
      </c>
      <c r="D16" s="35">
        <f ca="1">+Folha1!D15</f>
        <v>0</v>
      </c>
      <c r="E16" s="35">
        <f ca="1">+Folha1!E15</f>
        <v>0</v>
      </c>
      <c r="F16" s="35">
        <f ca="1">+Folha1!F15</f>
        <v>0</v>
      </c>
      <c r="G16" s="35">
        <f ca="1">+Folha1!G15</f>
        <v>5.1354468691367234</v>
      </c>
      <c r="H16" s="35">
        <f ca="1">+Folha1!H15</f>
        <v>7.1152052020761953</v>
      </c>
      <c r="I16" s="35">
        <f ca="1">+Folha1!I15</f>
        <v>11.833467119346656</v>
      </c>
      <c r="J16" s="35">
        <f ca="1">+Folha1!J15</f>
        <v>26.887398228604635</v>
      </c>
      <c r="K16" s="35">
        <f ca="1">+Folha1!K15</f>
        <v>25.810497252775928</v>
      </c>
      <c r="L16" s="35">
        <f ca="1">+Folha1!L15</f>
        <v>41.165157531260654</v>
      </c>
      <c r="M16" s="35">
        <f ca="1">+Folha1!M15</f>
        <v>45.673086523107521</v>
      </c>
      <c r="N16" s="35">
        <f ca="1">+Folha1!N15</f>
        <v>60.649048541664754</v>
      </c>
      <c r="O16" s="35">
        <f ca="1">+Folha1!O15</f>
        <v>55.631526876411947</v>
      </c>
      <c r="P16" s="35">
        <f ca="1">+Folha1!P15</f>
        <v>92.518920291877635</v>
      </c>
      <c r="Q16" s="35">
        <f ca="1">+Folha1!Q15</f>
        <v>74.48970190552194</v>
      </c>
      <c r="R16" s="35">
        <f ca="1">+Folha1!R15</f>
        <v>79.934347926881443</v>
      </c>
      <c r="S16" s="35">
        <f ca="1">+Folha1!S15</f>
        <v>76.577131240317399</v>
      </c>
      <c r="T16" s="35">
        <f ca="1">+Folha1!T15</f>
        <v>93.566622321459832</v>
      </c>
      <c r="U16" s="35">
        <f ca="1">+Folha1!U15</f>
        <v>94.508305025857453</v>
      </c>
      <c r="V16" s="35">
        <f ca="1">+Folha1!V15</f>
        <v>102.60479531078181</v>
      </c>
      <c r="W16" s="35">
        <f ca="1">+Folha1!W15</f>
        <v>95.100014952698061</v>
      </c>
      <c r="X16" s="35">
        <f ca="1">+Folha1!X15</f>
        <v>109.99894502994016</v>
      </c>
      <c r="Y16" s="35">
        <f ca="1">+Folha1!Y15</f>
        <v>133.0404446601718</v>
      </c>
      <c r="Z16" s="35">
        <f ca="1">+Folha1!Z15</f>
        <v>116.82757025156251</v>
      </c>
      <c r="AA16" s="35">
        <f ca="1">+Folha1!AA15</f>
        <v>110.18134491827098</v>
      </c>
      <c r="AB16" s="35">
        <f ca="1">+Folha1!AB15</f>
        <v>112.00371607798992</v>
      </c>
      <c r="AC16" s="35">
        <f ca="1">+Folha1!AC15</f>
        <v>98.530411609365729</v>
      </c>
      <c r="AD16" s="35">
        <f ca="1">+Folha1!AD15</f>
        <v>87.815714287533282</v>
      </c>
      <c r="AE16" s="35">
        <f ca="1">+Folha1!AE15</f>
        <v>98.066596198558614</v>
      </c>
      <c r="AF16" s="35">
        <f ca="1">+Folha1!AF15</f>
        <v>81.036219258783703</v>
      </c>
      <c r="AG16" s="35">
        <f ca="1">+Folha1!AG15</f>
        <v>70.616717767225509</v>
      </c>
      <c r="AH16" s="35">
        <f ca="1">+Folha1!AH15</f>
        <v>81.054483393391322</v>
      </c>
      <c r="AI16" s="35">
        <f ca="1">+Folha1!AI15</f>
        <v>57.546498466143625</v>
      </c>
      <c r="AJ16" s="35">
        <f ca="1">+Folha1!AJ15</f>
        <v>75.579846442577022</v>
      </c>
      <c r="AK16" s="35">
        <f ca="1">+Folha1!AK15</f>
        <v>50.998706519019436</v>
      </c>
      <c r="AL16" s="35">
        <f t="shared" ca="1" si="3"/>
        <v>2272.4978880003137</v>
      </c>
      <c r="AM16" s="1"/>
    </row>
    <row r="17" spans="2:39" x14ac:dyDescent="0.25">
      <c r="B17" s="34" t="s">
        <v>83</v>
      </c>
      <c r="C17" s="35">
        <f ca="1">SUM(C12:C16)</f>
        <v>22.546700123329366</v>
      </c>
      <c r="D17" s="35">
        <f t="shared" ref="D17:AK17" ca="1" si="4">SUM(D12:D16)</f>
        <v>52.325757922232853</v>
      </c>
      <c r="E17" s="35">
        <f t="shared" ca="1" si="4"/>
        <v>225.79284378157888</v>
      </c>
      <c r="F17" s="35">
        <f t="shared" ca="1" si="4"/>
        <v>201.94127312957005</v>
      </c>
      <c r="G17" s="35">
        <f t="shared" ca="1" si="4"/>
        <v>74.404050652730831</v>
      </c>
      <c r="H17" s="35">
        <f t="shared" ca="1" si="4"/>
        <v>21.379987836427077</v>
      </c>
      <c r="I17" s="35">
        <f t="shared" ca="1" si="4"/>
        <v>23.920500036009528</v>
      </c>
      <c r="J17" s="35">
        <f t="shared" ca="1" si="4"/>
        <v>40.327589203780263</v>
      </c>
      <c r="K17" s="35">
        <f t="shared" ca="1" si="4"/>
        <v>38.730980195221754</v>
      </c>
      <c r="L17" s="35">
        <f t="shared" ca="1" si="4"/>
        <v>56.377894324681151</v>
      </c>
      <c r="M17" s="35">
        <f t="shared" ca="1" si="4"/>
        <v>58.607233878882724</v>
      </c>
      <c r="N17" s="35">
        <f t="shared" ca="1" si="4"/>
        <v>78.731700029639313</v>
      </c>
      <c r="O17" s="35">
        <f t="shared" ca="1" si="4"/>
        <v>73.007020077139913</v>
      </c>
      <c r="P17" s="35">
        <f t="shared" ca="1" si="4"/>
        <v>114.15113558583084</v>
      </c>
      <c r="Q17" s="35">
        <f t="shared" ca="1" si="4"/>
        <v>85.38616447698125</v>
      </c>
      <c r="R17" s="35">
        <f t="shared" ca="1" si="4"/>
        <v>99.998182805042546</v>
      </c>
      <c r="S17" s="35">
        <f t="shared" ca="1" si="4"/>
        <v>89.683479721136493</v>
      </c>
      <c r="T17" s="35">
        <f t="shared" ca="1" si="4"/>
        <v>111.26413076881502</v>
      </c>
      <c r="U17" s="35">
        <f t="shared" ca="1" si="4"/>
        <v>109.45540057869323</v>
      </c>
      <c r="V17" s="35">
        <f t="shared" ca="1" si="4"/>
        <v>102.88717996663516</v>
      </c>
      <c r="W17" s="35">
        <f t="shared" ca="1" si="4"/>
        <v>93.284838749181191</v>
      </c>
      <c r="X17" s="35">
        <f t="shared" ca="1" si="4"/>
        <v>112.82559683041748</v>
      </c>
      <c r="Y17" s="35">
        <f t="shared" ca="1" si="4"/>
        <v>137.21108830153048</v>
      </c>
      <c r="Z17" s="35">
        <f t="shared" ca="1" si="4"/>
        <v>114.23730108017882</v>
      </c>
      <c r="AA17" s="35">
        <f t="shared" ca="1" si="4"/>
        <v>108.85594168372187</v>
      </c>
      <c r="AB17" s="35">
        <f t="shared" ca="1" si="4"/>
        <v>111.95746037923146</v>
      </c>
      <c r="AC17" s="35">
        <f t="shared" ca="1" si="4"/>
        <v>96.381856732762969</v>
      </c>
      <c r="AD17" s="35">
        <f t="shared" ca="1" si="4"/>
        <v>85.743556202676928</v>
      </c>
      <c r="AE17" s="35">
        <f t="shared" ca="1" si="4"/>
        <v>100.38642554767033</v>
      </c>
      <c r="AF17" s="35">
        <f t="shared" ca="1" si="4"/>
        <v>77.99076817944659</v>
      </c>
      <c r="AG17" s="35">
        <f t="shared" ca="1" si="4"/>
        <v>68.110662650526791</v>
      </c>
      <c r="AH17" s="35">
        <f t="shared" ca="1" si="4"/>
        <v>83.314929424509415</v>
      </c>
      <c r="AI17" s="35">
        <f t="shared" ca="1" si="4"/>
        <v>53.63293318631672</v>
      </c>
      <c r="AJ17" s="35">
        <f t="shared" ca="1" si="4"/>
        <v>78.283278478045375</v>
      </c>
      <c r="AK17" s="35">
        <f t="shared" ca="1" si="4"/>
        <v>139.39064909680036</v>
      </c>
      <c r="AL17" s="35">
        <f t="shared" ca="1" si="3"/>
        <v>3142.5264916173751</v>
      </c>
      <c r="AM17" s="1"/>
    </row>
    <row r="18" spans="2:39" x14ac:dyDescent="0.25"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1"/>
    </row>
    <row r="19" spans="2:39" x14ac:dyDescent="0.25">
      <c r="B19" t="s">
        <v>118</v>
      </c>
      <c r="C19" s="35">
        <f ca="1">+C8-C17</f>
        <v>0</v>
      </c>
      <c r="D19" s="35">
        <f t="shared" ref="D19:AK19" ca="1" si="5">+D8-D17</f>
        <v>0</v>
      </c>
      <c r="E19" s="35">
        <f t="shared" ca="1" si="5"/>
        <v>0</v>
      </c>
      <c r="F19" s="35">
        <f t="shared" ca="1" si="5"/>
        <v>0</v>
      </c>
      <c r="G19" s="35">
        <f t="shared" ca="1" si="5"/>
        <v>0</v>
      </c>
      <c r="H19" s="35">
        <f t="shared" ca="1" si="5"/>
        <v>40.152741473612494</v>
      </c>
      <c r="I19" s="35">
        <f t="shared" ca="1" si="5"/>
        <v>54.254952196475969</v>
      </c>
      <c r="J19" s="35">
        <f t="shared" ca="1" si="5"/>
        <v>88.758532926586639</v>
      </c>
      <c r="K19" s="35">
        <f t="shared" ca="1" si="5"/>
        <v>87.477305990951464</v>
      </c>
      <c r="L19" s="35">
        <f t="shared" ca="1" si="5"/>
        <v>121.89986133031537</v>
      </c>
      <c r="M19" s="35">
        <f t="shared" ca="1" si="5"/>
        <v>135.49091050488761</v>
      </c>
      <c r="N19" s="35">
        <f t="shared" ca="1" si="5"/>
        <v>166.08845778960293</v>
      </c>
      <c r="O19" s="35">
        <f t="shared" ca="1" si="5"/>
        <v>156.11340188162964</v>
      </c>
      <c r="P19" s="35">
        <f t="shared" ca="1" si="5"/>
        <v>239.14406673865869</v>
      </c>
      <c r="Q19" s="35">
        <f t="shared" ca="1" si="5"/>
        <v>208.79881777208027</v>
      </c>
      <c r="R19" s="35">
        <f t="shared" ca="1" si="5"/>
        <v>213.27445892054882</v>
      </c>
      <c r="S19" s="35">
        <f t="shared" ca="1" si="5"/>
        <v>213.68313162137639</v>
      </c>
      <c r="T19" s="35">
        <f t="shared" ca="1" si="5"/>
        <v>249.61103753006986</v>
      </c>
      <c r="U19" s="35">
        <f t="shared" ca="1" si="5"/>
        <v>255.54847350515809</v>
      </c>
      <c r="V19" s="35">
        <f t="shared" ca="1" si="5"/>
        <v>256.58231391418428</v>
      </c>
      <c r="W19" s="35">
        <f t="shared" ca="1" si="5"/>
        <v>236.8604469653543</v>
      </c>
      <c r="X19" s="35">
        <f t="shared" ca="1" si="5"/>
        <v>266.06760594338061</v>
      </c>
      <c r="Y19" s="35">
        <f t="shared" ca="1" si="5"/>
        <v>317.75621370601834</v>
      </c>
      <c r="Z19" s="35">
        <f t="shared" ca="1" si="5"/>
        <v>285.97525225677026</v>
      </c>
      <c r="AA19" s="35">
        <f t="shared" ca="1" si="5"/>
        <v>268.31525866838126</v>
      </c>
      <c r="AB19" s="35">
        <f t="shared" ca="1" si="5"/>
        <v>270.49435174931722</v>
      </c>
      <c r="AC19" s="35">
        <f t="shared" ca="1" si="5"/>
        <v>240.3568004600906</v>
      </c>
      <c r="AD19" s="35">
        <f t="shared" ca="1" si="5"/>
        <v>214.25410689369846</v>
      </c>
      <c r="AE19" s="35">
        <f t="shared" ca="1" si="5"/>
        <v>232.56404160462182</v>
      </c>
      <c r="AF19" s="35">
        <f t="shared" ca="1" si="5"/>
        <v>197.20460129450487</v>
      </c>
      <c r="AG19" s="35">
        <f t="shared" ca="1" si="5"/>
        <v>171.41419577956586</v>
      </c>
      <c r="AH19" s="35">
        <f t="shared" ca="1" si="5"/>
        <v>189.71778918733432</v>
      </c>
      <c r="AI19" s="35">
        <f t="shared" ca="1" si="5"/>
        <v>140.16291564880407</v>
      </c>
      <c r="AJ19" s="35">
        <f t="shared" ca="1" si="5"/>
        <v>174.63396684154577</v>
      </c>
      <c r="AK19" s="35">
        <f t="shared" ca="1" si="5"/>
        <v>30.605039299931093</v>
      </c>
      <c r="AL19" s="35">
        <f t="shared" ca="1" si="3"/>
        <v>5723.2610503954566</v>
      </c>
      <c r="AM19" s="1"/>
    </row>
    <row r="20" spans="2:39" x14ac:dyDescent="0.25">
      <c r="B20" t="s">
        <v>119</v>
      </c>
      <c r="C20" s="35">
        <f ca="1">+C19</f>
        <v>0</v>
      </c>
      <c r="D20" s="35">
        <f ca="1">+C20+D19</f>
        <v>0</v>
      </c>
      <c r="E20" s="35">
        <f t="shared" ref="E20:AK20" ca="1" si="6">+D20+E19</f>
        <v>0</v>
      </c>
      <c r="F20" s="35">
        <f t="shared" ca="1" si="6"/>
        <v>0</v>
      </c>
      <c r="G20" s="35">
        <f t="shared" ca="1" si="6"/>
        <v>0</v>
      </c>
      <c r="H20" s="35">
        <f t="shared" ca="1" si="6"/>
        <v>40.152741473612494</v>
      </c>
      <c r="I20" s="35">
        <f t="shared" ca="1" si="6"/>
        <v>94.407693670088463</v>
      </c>
      <c r="J20" s="35">
        <f t="shared" ca="1" si="6"/>
        <v>183.1662265966751</v>
      </c>
      <c r="K20" s="35">
        <f t="shared" ca="1" si="6"/>
        <v>270.64353258762657</v>
      </c>
      <c r="L20" s="35">
        <f t="shared" ca="1" si="6"/>
        <v>392.54339391794196</v>
      </c>
      <c r="M20" s="35">
        <f t="shared" ca="1" si="6"/>
        <v>528.03430442282956</v>
      </c>
      <c r="N20" s="35">
        <f t="shared" ca="1" si="6"/>
        <v>694.12276221243246</v>
      </c>
      <c r="O20" s="35">
        <f t="shared" ca="1" si="6"/>
        <v>850.23616409406213</v>
      </c>
      <c r="P20" s="35">
        <f t="shared" ca="1" si="6"/>
        <v>1089.3802308327208</v>
      </c>
      <c r="Q20" s="35">
        <f t="shared" ca="1" si="6"/>
        <v>1298.1790486048012</v>
      </c>
      <c r="R20" s="35">
        <f t="shared" ca="1" si="6"/>
        <v>1511.45350752535</v>
      </c>
      <c r="S20" s="35">
        <f t="shared" ca="1" si="6"/>
        <v>1725.1366391467263</v>
      </c>
      <c r="T20" s="35">
        <f t="shared" ca="1" si="6"/>
        <v>1974.7476766767961</v>
      </c>
      <c r="U20" s="35">
        <f t="shared" ca="1" si="6"/>
        <v>2230.2961501819541</v>
      </c>
      <c r="V20" s="35">
        <f t="shared" ca="1" si="6"/>
        <v>2486.8784640961385</v>
      </c>
      <c r="W20" s="35">
        <f t="shared" ca="1" si="6"/>
        <v>2723.7389110614927</v>
      </c>
      <c r="X20" s="35">
        <f t="shared" ca="1" si="6"/>
        <v>2989.8065170048731</v>
      </c>
      <c r="Y20" s="35">
        <f t="shared" ca="1" si="6"/>
        <v>3307.5627307108916</v>
      </c>
      <c r="Z20" s="35">
        <f t="shared" ca="1" si="6"/>
        <v>3593.5379829676617</v>
      </c>
      <c r="AA20" s="35">
        <f t="shared" ca="1" si="6"/>
        <v>3861.8532416360431</v>
      </c>
      <c r="AB20" s="35">
        <f t="shared" ca="1" si="6"/>
        <v>4132.3475933853606</v>
      </c>
      <c r="AC20" s="35">
        <f t="shared" ca="1" si="6"/>
        <v>4372.7043938454508</v>
      </c>
      <c r="AD20" s="35">
        <f t="shared" ca="1" si="6"/>
        <v>4586.9585007391488</v>
      </c>
      <c r="AE20" s="35">
        <f t="shared" ca="1" si="6"/>
        <v>4819.5225423437705</v>
      </c>
      <c r="AF20" s="35">
        <f t="shared" ca="1" si="6"/>
        <v>5016.7271436382753</v>
      </c>
      <c r="AG20" s="35">
        <f t="shared" ca="1" si="6"/>
        <v>5188.1413394178408</v>
      </c>
      <c r="AH20" s="35">
        <f t="shared" ca="1" si="6"/>
        <v>5377.8591286051751</v>
      </c>
      <c r="AI20" s="35">
        <f t="shared" ca="1" si="6"/>
        <v>5518.0220442539794</v>
      </c>
      <c r="AJ20" s="35">
        <f t="shared" ca="1" si="6"/>
        <v>5692.6560110955252</v>
      </c>
      <c r="AK20" s="35">
        <f t="shared" ca="1" si="6"/>
        <v>5723.2610503954566</v>
      </c>
      <c r="AL20" s="1"/>
      <c r="AM20" s="1"/>
    </row>
    <row r="21" spans="2:39" x14ac:dyDescent="0.2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1"/>
      <c r="AM21" s="1"/>
    </row>
    <row r="22" spans="2:39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1"/>
      <c r="AM22" s="1"/>
    </row>
    <row r="23" spans="2:39" x14ac:dyDescent="0.25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1"/>
      <c r="AM23" s="1"/>
    </row>
    <row r="24" spans="2:39" x14ac:dyDescent="0.25">
      <c r="C24" s="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1"/>
      <c r="AM24" s="1"/>
    </row>
    <row r="25" spans="2:39" x14ac:dyDescent="0.25"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1"/>
      <c r="AM25" s="1"/>
    </row>
    <row r="26" spans="2:39" x14ac:dyDescent="0.25"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1"/>
      <c r="AM26" s="1"/>
    </row>
    <row r="27" spans="2:39" x14ac:dyDescent="0.2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1"/>
      <c r="AM27" s="1"/>
    </row>
    <row r="28" spans="2:39" x14ac:dyDescent="0.2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1"/>
      <c r="AM28" s="1"/>
    </row>
    <row r="29" spans="2:39" x14ac:dyDescent="0.25">
      <c r="B29" t="s">
        <v>122</v>
      </c>
      <c r="C29" s="35">
        <f ca="1">+C17-C5-C6-C7</f>
        <v>22.546700123329366</v>
      </c>
      <c r="D29" s="35">
        <f t="shared" ref="D29:AK29" ca="1" si="7">+D17-D5-D6-D7</f>
        <v>52.325757922232853</v>
      </c>
      <c r="E29" s="35">
        <f t="shared" ca="1" si="7"/>
        <v>225.79284378157888</v>
      </c>
      <c r="F29" s="35">
        <f t="shared" ca="1" si="7"/>
        <v>201.94127312957005</v>
      </c>
      <c r="G29" s="35">
        <f t="shared" ca="1" si="7"/>
        <v>23.778789425161008</v>
      </c>
      <c r="H29" s="35">
        <f t="shared" ca="1" si="7"/>
        <v>-40.152741473612494</v>
      </c>
      <c r="I29" s="35">
        <f t="shared" ca="1" si="7"/>
        <v>-54.254952196475969</v>
      </c>
      <c r="J29" s="35">
        <f t="shared" ca="1" si="7"/>
        <v>-88.758532926586639</v>
      </c>
      <c r="K29" s="35">
        <f t="shared" ca="1" si="7"/>
        <v>-87.477305990951464</v>
      </c>
      <c r="L29" s="35">
        <f t="shared" ca="1" si="7"/>
        <v>-121.89986133031537</v>
      </c>
      <c r="M29" s="35">
        <f t="shared" ca="1" si="7"/>
        <v>-135.49091050488761</v>
      </c>
      <c r="N29" s="35">
        <f t="shared" ca="1" si="7"/>
        <v>-166.08845778960293</v>
      </c>
      <c r="O29" s="35">
        <f t="shared" ca="1" si="7"/>
        <v>-156.11340188162961</v>
      </c>
      <c r="P29" s="35">
        <f t="shared" ca="1" si="7"/>
        <v>-239.14406673865872</v>
      </c>
      <c r="Q29" s="35">
        <f t="shared" ca="1" si="7"/>
        <v>-208.79881777208027</v>
      </c>
      <c r="R29" s="35">
        <f t="shared" ca="1" si="7"/>
        <v>-213.27445892054882</v>
      </c>
      <c r="S29" s="35">
        <f t="shared" ca="1" si="7"/>
        <v>-213.68313162137639</v>
      </c>
      <c r="T29" s="35">
        <f t="shared" ca="1" si="7"/>
        <v>-249.61103753006989</v>
      </c>
      <c r="U29" s="35">
        <f t="shared" ca="1" si="7"/>
        <v>-255.54847350515809</v>
      </c>
      <c r="V29" s="35">
        <f t="shared" ca="1" si="7"/>
        <v>-256.58231391418434</v>
      </c>
      <c r="W29" s="35">
        <f t="shared" ca="1" si="7"/>
        <v>-236.8604469653543</v>
      </c>
      <c r="X29" s="35">
        <f t="shared" ca="1" si="7"/>
        <v>-266.06760594338061</v>
      </c>
      <c r="Y29" s="35">
        <f t="shared" ca="1" si="7"/>
        <v>-317.75621370601834</v>
      </c>
      <c r="Z29" s="35">
        <f t="shared" ca="1" si="7"/>
        <v>-285.97525225677026</v>
      </c>
      <c r="AA29" s="35">
        <f t="shared" ca="1" si="7"/>
        <v>-268.31525866838126</v>
      </c>
      <c r="AB29" s="35">
        <f t="shared" ca="1" si="7"/>
        <v>-270.49435174931722</v>
      </c>
      <c r="AC29" s="35">
        <f t="shared" ca="1" si="7"/>
        <v>-240.3568004600906</v>
      </c>
      <c r="AD29" s="35">
        <f t="shared" ca="1" si="7"/>
        <v>-214.25410689369849</v>
      </c>
      <c r="AE29" s="35">
        <f t="shared" ca="1" si="7"/>
        <v>-232.56404160462179</v>
      </c>
      <c r="AF29" s="35">
        <f t="shared" ca="1" si="7"/>
        <v>-197.20460129450487</v>
      </c>
      <c r="AG29" s="35">
        <f t="shared" ca="1" si="7"/>
        <v>-171.41419577956586</v>
      </c>
      <c r="AH29" s="35">
        <f t="shared" ca="1" si="7"/>
        <v>-189.71778918733432</v>
      </c>
      <c r="AI29" s="35">
        <f t="shared" ca="1" si="7"/>
        <v>-140.16291564880405</v>
      </c>
      <c r="AJ29" s="35">
        <f t="shared" ca="1" si="7"/>
        <v>-174.63396684154577</v>
      </c>
      <c r="AK29" s="35">
        <f t="shared" ca="1" si="7"/>
        <v>-30.605039299931093</v>
      </c>
      <c r="AL29" s="1"/>
      <c r="AM29" s="1"/>
    </row>
    <row r="30" spans="2:39" x14ac:dyDescent="0.25">
      <c r="B30" t="s">
        <v>155</v>
      </c>
      <c r="C30" s="35">
        <f>+C15*Folha0!D40</f>
        <v>0</v>
      </c>
      <c r="D30" s="35">
        <f>+D15*Folha0!E40</f>
        <v>0</v>
      </c>
      <c r="E30" s="35">
        <f>+E15*Folha0!F40</f>
        <v>0</v>
      </c>
      <c r="F30" s="35">
        <f>+F15*Folha0!G40</f>
        <v>0</v>
      </c>
      <c r="G30" s="35">
        <f>+G15*Folha0!H40</f>
        <v>0</v>
      </c>
      <c r="H30" s="35">
        <f>+H15*Folha0!I40</f>
        <v>0</v>
      </c>
      <c r="I30" s="35">
        <f>+I15*Folha0!J40</f>
        <v>0</v>
      </c>
      <c r="J30" s="35">
        <f>+J15*Folha0!K40</f>
        <v>0</v>
      </c>
      <c r="K30" s="35">
        <f>+K15*Folha0!L40</f>
        <v>0</v>
      </c>
      <c r="L30" s="35">
        <f>+L15*Folha0!M40</f>
        <v>0</v>
      </c>
      <c r="M30" s="35">
        <f>+M15*Folha0!N40</f>
        <v>0</v>
      </c>
      <c r="N30" s="35">
        <f>+N15*Folha0!O40</f>
        <v>0</v>
      </c>
      <c r="O30" s="35">
        <f>+O15*Folha0!P40</f>
        <v>0</v>
      </c>
      <c r="P30" s="35">
        <f>+P15*Folha0!Q40</f>
        <v>0</v>
      </c>
      <c r="Q30" s="35">
        <f>+Q15*Folha0!R40</f>
        <v>0</v>
      </c>
      <c r="R30" s="35">
        <f>+R15*Folha0!S40</f>
        <v>0</v>
      </c>
      <c r="S30" s="35">
        <f>+S15*Folha0!T40</f>
        <v>0</v>
      </c>
      <c r="T30" s="35">
        <f>+T15*Folha0!U40</f>
        <v>0</v>
      </c>
      <c r="U30" s="35">
        <f>+U15*Folha0!V40</f>
        <v>0</v>
      </c>
      <c r="V30" s="35">
        <f>+V15*Folha0!W40</f>
        <v>0</v>
      </c>
      <c r="W30" s="35">
        <f>+W15*Folha0!X40</f>
        <v>0</v>
      </c>
      <c r="X30" s="35">
        <f>+X15*Folha0!Y40</f>
        <v>0</v>
      </c>
      <c r="Y30" s="35">
        <f>+Y15*Folha0!Z40</f>
        <v>0</v>
      </c>
      <c r="Z30" s="35">
        <f>+Z15*Folha0!AA40</f>
        <v>0</v>
      </c>
      <c r="AA30" s="35">
        <f>+AA15*Folha0!AB40</f>
        <v>0</v>
      </c>
      <c r="AB30" s="35">
        <f>+AB15*Folha0!AC40</f>
        <v>0</v>
      </c>
      <c r="AC30" s="35">
        <f>+AC15*Folha0!AD40</f>
        <v>0</v>
      </c>
      <c r="AD30" s="35">
        <f>+AD15*Folha0!AE40</f>
        <v>0</v>
      </c>
      <c r="AE30" s="35">
        <f>+AE15*Folha0!AF40</f>
        <v>0</v>
      </c>
      <c r="AF30" s="35">
        <f>+AF15*Folha0!AG40</f>
        <v>0</v>
      </c>
      <c r="AG30" s="35">
        <f>+AG15*Folha0!AH40</f>
        <v>0</v>
      </c>
      <c r="AH30" s="35">
        <f>+AH15*Folha0!AI40</f>
        <v>0</v>
      </c>
      <c r="AI30" s="35">
        <f>+AI15*Folha0!AJ40</f>
        <v>0</v>
      </c>
      <c r="AJ30" s="35">
        <f>+AJ15*Folha0!AK40</f>
        <v>0</v>
      </c>
      <c r="AK30" s="35">
        <f>+AK15*Folha0!AL40</f>
        <v>0</v>
      </c>
      <c r="AL30" s="1"/>
      <c r="AM30" s="1"/>
    </row>
    <row r="31" spans="2:39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2:39" x14ac:dyDescent="0.25">
      <c r="C32" s="53">
        <f>NPV((Folha0!$C$27+Folha0!$C$28),Folha4!C30:AK30)</f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3:39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6"/>
  <sheetViews>
    <sheetView tabSelected="1" topLeftCell="A40" workbookViewId="0">
      <selection activeCell="F6" sqref="F6"/>
    </sheetView>
  </sheetViews>
  <sheetFormatPr defaultRowHeight="15" x14ac:dyDescent="0.25"/>
  <cols>
    <col min="1" max="1" width="5.5703125" customWidth="1"/>
    <col min="2" max="2" width="32.5703125" customWidth="1"/>
    <col min="3" max="3" width="9.7109375" customWidth="1"/>
    <col min="4" max="4" width="10.85546875" customWidth="1"/>
    <col min="7" max="7" width="10.42578125" customWidth="1"/>
    <col min="8" max="8" width="9.85546875" customWidth="1"/>
    <col min="14" max="14" width="7.5703125" customWidth="1"/>
    <col min="15" max="15" width="4.28515625" customWidth="1"/>
    <col min="19" max="19" width="11" customWidth="1"/>
  </cols>
  <sheetData>
    <row r="1" spans="2:22" x14ac:dyDescent="0.25">
      <c r="B1" s="2" t="s">
        <v>175</v>
      </c>
      <c r="F1" s="10" t="s">
        <v>166</v>
      </c>
    </row>
    <row r="2" spans="2:22" x14ac:dyDescent="0.25">
      <c r="F2" s="14" t="s">
        <v>174</v>
      </c>
    </row>
    <row r="3" spans="2:22" x14ac:dyDescent="0.25">
      <c r="D3" t="s">
        <v>94</v>
      </c>
      <c r="E3" s="4" t="s">
        <v>88</v>
      </c>
      <c r="F3" s="50">
        <v>0.9</v>
      </c>
      <c r="K3" s="4" t="s">
        <v>142</v>
      </c>
      <c r="L3" s="4" t="s">
        <v>167</v>
      </c>
      <c r="M3" s="4" t="s">
        <v>126</v>
      </c>
      <c r="N3" s="4" t="s">
        <v>181</v>
      </c>
      <c r="P3" s="1" t="s">
        <v>179</v>
      </c>
      <c r="Q3" s="5">
        <f ca="1">MIN(M6:M106)</f>
        <v>8.6871817230401049E-2</v>
      </c>
      <c r="R3" s="5">
        <f ca="1">MAX(M6:M106)</f>
        <v>0.28250137373639039</v>
      </c>
      <c r="S3" s="1"/>
      <c r="T3" s="1">
        <v>15</v>
      </c>
    </row>
    <row r="4" spans="2:22" x14ac:dyDescent="0.25">
      <c r="B4" s="2" t="s">
        <v>153</v>
      </c>
      <c r="C4" s="50">
        <v>0.1</v>
      </c>
      <c r="D4" s="32">
        <f ca="1">NPV(C4,Folha1!C27:AK27)</f>
        <v>529.73323059990867</v>
      </c>
      <c r="E4" s="32">
        <f ca="1">+K4</f>
        <v>709.98876890493284</v>
      </c>
      <c r="F4" s="32">
        <f ca="1">_xlfn.NORM.INV((1-$F$3),K4,K5)</f>
        <v>203.19914058323934</v>
      </c>
      <c r="J4" s="2" t="s">
        <v>88</v>
      </c>
      <c r="K4" s="30">
        <f ca="1">+AVERAGE(K6:K106)</f>
        <v>709.98876890493284</v>
      </c>
      <c r="L4" s="30">
        <f ca="1">+AVERAGE(L6:L106)</f>
        <v>338.58399057873618</v>
      </c>
      <c r="M4" s="6">
        <f ca="1">+AVERAGE(M6:M106)</f>
        <v>0.19077601296295085</v>
      </c>
      <c r="N4" s="71">
        <f ca="1">+AVERAGE(N6:N106)</f>
        <v>11.396039603960396</v>
      </c>
      <c r="P4" s="1" t="s">
        <v>182</v>
      </c>
      <c r="Q4" s="1"/>
      <c r="R4" s="1"/>
      <c r="S4" s="75">
        <f ca="1">ROUNDUP((R3-Q3)/T3,4)</f>
        <v>1.3099999999999999E-2</v>
      </c>
      <c r="T4" s="1"/>
    </row>
    <row r="5" spans="2:22" x14ac:dyDescent="0.25">
      <c r="B5" s="2" t="s">
        <v>154</v>
      </c>
      <c r="C5" s="50">
        <v>0.13</v>
      </c>
      <c r="D5" s="32">
        <f ca="1">NPV(C5,Folha1!C27:AK27)</f>
        <v>236.0760038551681</v>
      </c>
      <c r="E5" s="72">
        <f ca="1">+L4</f>
        <v>338.58399057873618</v>
      </c>
      <c r="F5" s="32">
        <f ca="1">_xlfn.NORM.INV((1-$F$3),L4,L5)</f>
        <v>26.272055766080427</v>
      </c>
      <c r="J5" s="2" t="s">
        <v>89</v>
      </c>
      <c r="K5" s="30">
        <f ca="1">_xlfn.STDEV.P(K6:K106)</f>
        <v>395.45004816589739</v>
      </c>
      <c r="L5" s="7">
        <f ca="1">_xlfn.STDEV.P(L6:L106)</f>
        <v>243.69829760220185</v>
      </c>
      <c r="M5" s="7">
        <f ca="1">_xlfn.STDEV.P(M6:M106)</f>
        <v>3.8150876724994197E-2</v>
      </c>
      <c r="N5" s="7">
        <f ca="1">_xlfn.STDEV.P(N6:N106)</f>
        <v>1.3206599604382627</v>
      </c>
    </row>
    <row r="6" spans="2:22" x14ac:dyDescent="0.25">
      <c r="B6" s="2" t="s">
        <v>124</v>
      </c>
      <c r="C6" s="4"/>
      <c r="D6" s="51">
        <f ca="1">IRR(Folha1!C27:AK27)</f>
        <v>0.18028672794867262</v>
      </c>
      <c r="E6" s="51">
        <f ca="1">+M4</f>
        <v>0.19077601296295085</v>
      </c>
      <c r="F6" s="51">
        <f ca="1">_xlfn.NORM.INV((1-$F$3),M4,M5)</f>
        <v>0.14188369716913546</v>
      </c>
      <c r="J6" s="1"/>
      <c r="K6" s="28">
        <f ca="1">+D4</f>
        <v>529.73323059990867</v>
      </c>
      <c r="L6" s="31">
        <f ca="1">+D5</f>
        <v>236.0760038551681</v>
      </c>
      <c r="M6" s="5">
        <f ca="1">+D6</f>
        <v>0.18028672794867262</v>
      </c>
      <c r="N6" s="58">
        <f ca="1">+D7</f>
        <v>11</v>
      </c>
      <c r="P6" t="s">
        <v>159</v>
      </c>
      <c r="R6" t="s">
        <v>160</v>
      </c>
      <c r="S6" t="s">
        <v>161</v>
      </c>
      <c r="T6" t="s">
        <v>180</v>
      </c>
      <c r="U6" s="5"/>
    </row>
    <row r="7" spans="2:22" x14ac:dyDescent="0.25">
      <c r="B7" s="69" t="s">
        <v>176</v>
      </c>
      <c r="C7" s="2"/>
      <c r="D7" s="65">
        <f ca="1">+MAX(Folha1!C34:AK34)+1</f>
        <v>11</v>
      </c>
      <c r="E7" s="73">
        <f ca="1">+N4</f>
        <v>11.396039603960396</v>
      </c>
      <c r="F7" s="51"/>
      <c r="J7" s="1">
        <v>1</v>
      </c>
      <c r="K7" s="28">
        <f t="dataTable" ref="K7:N106" dt2D="0" dtr="0" r1="H4" ca="1"/>
        <v>919.7321713710586</v>
      </c>
      <c r="L7" s="28">
        <v>502.23865892749603</v>
      </c>
      <c r="M7" s="5">
        <v>0.23592184514163517</v>
      </c>
      <c r="N7" s="1">
        <v>10</v>
      </c>
      <c r="P7">
        <v>0</v>
      </c>
      <c r="Q7" s="56">
        <f ca="1">+Q3+0.0001</f>
        <v>8.6971817230401052E-2</v>
      </c>
      <c r="R7" s="58">
        <f ca="1">COUNTIF($M$6:$M$106,"&lt;"&amp;Q7)</f>
        <v>1</v>
      </c>
      <c r="S7" s="68">
        <f ca="1">+R7/($J$106+1)</f>
        <v>9.9009900990099011E-3</v>
      </c>
      <c r="T7" s="68">
        <f ca="1">100%-S7</f>
        <v>0.99009900990099009</v>
      </c>
      <c r="U7" s="29">
        <f ca="1">+Q7*100</f>
        <v>8.6971817230401047</v>
      </c>
      <c r="V7" s="54">
        <f>+P7*100</f>
        <v>0</v>
      </c>
    </row>
    <row r="8" spans="2:22" x14ac:dyDescent="0.25">
      <c r="C8" s="48"/>
      <c r="D8" s="49"/>
      <c r="J8" s="1">
        <f t="shared" ref="J8:J39" si="0">+J7+1</f>
        <v>2</v>
      </c>
      <c r="K8" s="28">
        <v>562.46690546571301</v>
      </c>
      <c r="L8" s="28">
        <v>230.68795438890939</v>
      </c>
      <c r="M8" s="5">
        <v>0.1714987166298414</v>
      </c>
      <c r="N8" s="1">
        <v>12</v>
      </c>
      <c r="P8" s="56">
        <f ca="1">+Q7+0.0001</f>
        <v>8.7071817230401055E-2</v>
      </c>
      <c r="Q8" s="56">
        <f t="shared" ref="Q8:Q22" ca="1" si="1">+P8+$S$4</f>
        <v>0.10017181723040106</v>
      </c>
      <c r="R8" s="58">
        <f ca="1">COUNTIF($M$6:$M$106,"&lt;"&amp;Q8)-R7</f>
        <v>0</v>
      </c>
      <c r="S8" s="68">
        <f t="shared" ref="S8:S22" ca="1" si="2">+R8/($J$106+1)</f>
        <v>0</v>
      </c>
      <c r="T8" s="68">
        <f ca="1">+T7-S8</f>
        <v>0.99009900990099009</v>
      </c>
      <c r="U8" s="29">
        <f t="shared" ref="U8:U22" ca="1" si="3">+Q8*100</f>
        <v>10.017181723040105</v>
      </c>
      <c r="V8" s="54">
        <f t="shared" ref="V8:V22" ca="1" si="4">+P8*100</f>
        <v>8.7071817230401063</v>
      </c>
    </row>
    <row r="9" spans="2:22" ht="15.75" thickBot="1" x14ac:dyDescent="0.3">
      <c r="D9" s="1"/>
      <c r="J9" s="1">
        <f t="shared" si="0"/>
        <v>3</v>
      </c>
      <c r="K9" s="28">
        <v>153.44969054082043</v>
      </c>
      <c r="L9" s="28">
        <v>16.048813616229197</v>
      </c>
      <c r="M9" s="5">
        <v>0.13497668379747929</v>
      </c>
      <c r="N9" s="1">
        <v>13</v>
      </c>
      <c r="P9" s="56">
        <f t="shared" ref="P9:P22" ca="1" si="5">+Q8+0.001</f>
        <v>0.10117181723040106</v>
      </c>
      <c r="Q9" s="56">
        <f t="shared" ca="1" si="1"/>
        <v>0.11427181723040106</v>
      </c>
      <c r="R9" s="58">
        <f ca="1">COUNTIF($M$6:$M$106,"&lt;"&amp;Q9)-SUM($R$7:R8)</f>
        <v>3</v>
      </c>
      <c r="S9" s="68">
        <f t="shared" ca="1" si="2"/>
        <v>2.9702970297029702E-2</v>
      </c>
      <c r="T9" s="68">
        <f t="shared" ref="T9:T22" ca="1" si="6">+T8-S9</f>
        <v>0.96039603960396036</v>
      </c>
      <c r="U9" s="29">
        <f t="shared" ca="1" si="3"/>
        <v>11.427181723040105</v>
      </c>
      <c r="V9" s="54">
        <f t="shared" ca="1" si="4"/>
        <v>10.117181723040106</v>
      </c>
    </row>
    <row r="10" spans="2:22" x14ac:dyDescent="0.25">
      <c r="C10" s="9"/>
      <c r="D10" s="10"/>
      <c r="E10" s="10"/>
      <c r="F10" s="41"/>
      <c r="G10" s="41"/>
      <c r="H10" s="11"/>
      <c r="J10" s="1">
        <f t="shared" si="0"/>
        <v>4</v>
      </c>
      <c r="K10" s="28">
        <v>1094.6783273626377</v>
      </c>
      <c r="L10" s="28">
        <v>568.15150769557931</v>
      </c>
      <c r="M10" s="5">
        <v>0.2248832958167033</v>
      </c>
      <c r="N10" s="1">
        <v>10</v>
      </c>
      <c r="P10" s="56">
        <f t="shared" ca="1" si="5"/>
        <v>0.11527181723040106</v>
      </c>
      <c r="Q10" s="56">
        <f t="shared" ca="1" si="1"/>
        <v>0.12837181723040106</v>
      </c>
      <c r="R10" s="58">
        <f ca="1">COUNTIF($M$6:$M$106,"&lt;"&amp;Q10)-SUM($R$7:R9)</f>
        <v>0</v>
      </c>
      <c r="S10" s="68">
        <f t="shared" ca="1" si="2"/>
        <v>0</v>
      </c>
      <c r="T10" s="68">
        <f t="shared" ca="1" si="6"/>
        <v>0.96039603960396036</v>
      </c>
      <c r="U10" s="29">
        <f t="shared" ca="1" si="3"/>
        <v>12.837181723040105</v>
      </c>
      <c r="V10" s="54">
        <f t="shared" ca="1" si="4"/>
        <v>11.527181723040107</v>
      </c>
    </row>
    <row r="11" spans="2:22" x14ac:dyDescent="0.25">
      <c r="C11" s="43" t="s">
        <v>162</v>
      </c>
      <c r="D11" s="44"/>
      <c r="E11" s="45"/>
      <c r="F11" s="13"/>
      <c r="G11" s="42">
        <v>0.95</v>
      </c>
      <c r="H11" s="16"/>
      <c r="J11" s="1">
        <f t="shared" si="0"/>
        <v>5</v>
      </c>
      <c r="K11" s="28">
        <v>537.68244629577691</v>
      </c>
      <c r="L11" s="28">
        <v>212.1497783348664</v>
      </c>
      <c r="M11" s="5">
        <v>0.16955693701838181</v>
      </c>
      <c r="N11" s="1">
        <v>12</v>
      </c>
      <c r="P11" s="56">
        <f t="shared" ca="1" si="5"/>
        <v>0.12937181723040106</v>
      </c>
      <c r="Q11" s="56">
        <f t="shared" ca="1" si="1"/>
        <v>0.14247181723040106</v>
      </c>
      <c r="R11" s="58">
        <f ca="1">COUNTIF($M$6:$M$106,"&lt;"&amp;Q11)-SUM($R$7:R10)</f>
        <v>6</v>
      </c>
      <c r="S11" s="68">
        <f t="shared" ca="1" si="2"/>
        <v>5.9405940594059403E-2</v>
      </c>
      <c r="T11" s="68">
        <f t="shared" ca="1" si="6"/>
        <v>0.9009900990099009</v>
      </c>
      <c r="U11" s="29">
        <f t="shared" ca="1" si="3"/>
        <v>14.247181723040105</v>
      </c>
      <c r="V11" s="54">
        <f t="shared" ca="1" si="4"/>
        <v>12.937181723040107</v>
      </c>
    </row>
    <row r="12" spans="2:22" x14ac:dyDescent="0.25">
      <c r="C12" s="15"/>
      <c r="D12" s="14"/>
      <c r="E12" s="14"/>
      <c r="F12" s="13"/>
      <c r="G12" s="13"/>
      <c r="H12" s="16"/>
      <c r="J12" s="1">
        <f t="shared" si="0"/>
        <v>6</v>
      </c>
      <c r="K12" s="28">
        <v>651.97531119201528</v>
      </c>
      <c r="L12" s="28">
        <v>290.21393057459846</v>
      </c>
      <c r="M12" s="5">
        <v>0.18234431652475647</v>
      </c>
      <c r="N12" s="1">
        <v>12</v>
      </c>
      <c r="P12" s="56">
        <f t="shared" ca="1" si="5"/>
        <v>0.14347181723040106</v>
      </c>
      <c r="Q12" s="56">
        <f t="shared" ca="1" si="1"/>
        <v>0.15657181723040106</v>
      </c>
      <c r="R12" s="58">
        <f ca="1">COUNTIF($M$6:$M$106,"&lt;"&amp;Q12)-SUM($R$7:R11)</f>
        <v>9</v>
      </c>
      <c r="S12" s="68">
        <f t="shared" ca="1" si="2"/>
        <v>8.9108910891089105E-2</v>
      </c>
      <c r="T12" s="68">
        <f t="shared" ca="1" si="6"/>
        <v>0.81188118811881183</v>
      </c>
      <c r="U12" s="29">
        <f t="shared" ca="1" si="3"/>
        <v>15.657181723040106</v>
      </c>
      <c r="V12" s="54">
        <f t="shared" ca="1" si="4"/>
        <v>14.347181723040107</v>
      </c>
    </row>
    <row r="13" spans="2:22" x14ac:dyDescent="0.25">
      <c r="C13" s="59" t="s">
        <v>168</v>
      </c>
      <c r="D13" s="13"/>
      <c r="E13" s="40" t="s">
        <v>169</v>
      </c>
      <c r="F13" s="13"/>
      <c r="G13" s="40" t="s">
        <v>170</v>
      </c>
      <c r="H13" s="16"/>
      <c r="J13" s="1">
        <f t="shared" si="0"/>
        <v>7</v>
      </c>
      <c r="K13" s="28">
        <v>64.255924054786831</v>
      </c>
      <c r="L13" s="28">
        <v>-67.297546656201988</v>
      </c>
      <c r="M13" s="5">
        <v>0.11227371670344488</v>
      </c>
      <c r="N13" s="1">
        <v>15</v>
      </c>
      <c r="P13" s="56">
        <f t="shared" ca="1" si="5"/>
        <v>0.15757181723040106</v>
      </c>
      <c r="Q13" s="56">
        <f t="shared" ca="1" si="1"/>
        <v>0.17067181723040106</v>
      </c>
      <c r="R13" s="58">
        <f ca="1">COUNTIF($M$6:$M$106,"&lt;"&amp;Q13)-SUM($R$7:R12)</f>
        <v>10</v>
      </c>
      <c r="S13" s="68">
        <f t="shared" ca="1" si="2"/>
        <v>9.9009900990099015E-2</v>
      </c>
      <c r="T13" s="68">
        <f t="shared" ca="1" si="6"/>
        <v>0.71287128712871284</v>
      </c>
      <c r="U13" s="29">
        <f t="shared" ca="1" si="3"/>
        <v>17.067181723040107</v>
      </c>
      <c r="V13" s="54">
        <f t="shared" ca="1" si="4"/>
        <v>15.757181723040107</v>
      </c>
    </row>
    <row r="14" spans="2:22" x14ac:dyDescent="0.25">
      <c r="C14" s="17" t="s">
        <v>90</v>
      </c>
      <c r="D14" s="12" t="s">
        <v>91</v>
      </c>
      <c r="E14" s="12" t="s">
        <v>92</v>
      </c>
      <c r="F14" s="12" t="s">
        <v>91</v>
      </c>
      <c r="G14" s="12" t="s">
        <v>92</v>
      </c>
      <c r="H14" s="18" t="s">
        <v>91</v>
      </c>
      <c r="J14" s="1">
        <f t="shared" si="0"/>
        <v>8</v>
      </c>
      <c r="K14" s="28">
        <v>1067.6985207711573</v>
      </c>
      <c r="L14" s="28">
        <v>564.62825857304711</v>
      </c>
      <c r="M14" s="5">
        <v>0.22923936217913288</v>
      </c>
      <c r="N14" s="1">
        <v>11</v>
      </c>
      <c r="P14" s="56">
        <f t="shared" ca="1" si="5"/>
        <v>0.17167181723040106</v>
      </c>
      <c r="Q14" s="56">
        <f t="shared" ca="1" si="1"/>
        <v>0.18477181723040106</v>
      </c>
      <c r="R14" s="58">
        <f ca="1">COUNTIF($M$6:$M$106,"&lt;"&amp;Q14)-SUM($R$7:R13)</f>
        <v>15</v>
      </c>
      <c r="S14" s="68">
        <f t="shared" ca="1" si="2"/>
        <v>0.14851485148514851</v>
      </c>
      <c r="T14" s="68">
        <f t="shared" ca="1" si="6"/>
        <v>0.5643564356435643</v>
      </c>
      <c r="U14" s="29">
        <f t="shared" ca="1" si="3"/>
        <v>18.477181723040108</v>
      </c>
      <c r="V14" s="54">
        <f t="shared" ca="1" si="4"/>
        <v>17.167181723040105</v>
      </c>
    </row>
    <row r="15" spans="2:22" x14ac:dyDescent="0.25">
      <c r="C15" s="19"/>
      <c r="D15" s="13"/>
      <c r="E15" s="13"/>
      <c r="F15" s="13"/>
      <c r="G15" s="13"/>
      <c r="H15" s="16"/>
      <c r="J15" s="1">
        <f t="shared" si="0"/>
        <v>9</v>
      </c>
      <c r="K15" s="28">
        <v>2073.8708206015785</v>
      </c>
      <c r="L15" s="28">
        <v>1161.0065420066244</v>
      </c>
      <c r="M15" s="5">
        <v>0.27013103197982358</v>
      </c>
      <c r="N15" s="1">
        <v>10</v>
      </c>
      <c r="P15" s="56">
        <f t="shared" ca="1" si="5"/>
        <v>0.18577181723040107</v>
      </c>
      <c r="Q15" s="56">
        <f t="shared" ca="1" si="1"/>
        <v>0.19887181723040107</v>
      </c>
      <c r="R15" s="58">
        <f ca="1">COUNTIF($M$6:$M$106,"&lt;"&amp;Q15)-SUM($R$7:R14)</f>
        <v>17</v>
      </c>
      <c r="S15" s="68">
        <f t="shared" ca="1" si="2"/>
        <v>0.16831683168316833</v>
      </c>
      <c r="T15" s="68">
        <f t="shared" ca="1" si="6"/>
        <v>0.39603960396039595</v>
      </c>
      <c r="U15" s="29">
        <f t="shared" ca="1" si="3"/>
        <v>19.887181723040108</v>
      </c>
      <c r="V15" s="54">
        <f t="shared" ca="1" si="4"/>
        <v>18.577181723040106</v>
      </c>
    </row>
    <row r="16" spans="2:22" x14ac:dyDescent="0.25">
      <c r="C16" s="20">
        <f ca="1">+$K$4-$K$5/SQRT($J$106)*TINV(1-$G$11,$J$106-1)</f>
        <v>631.52289999728896</v>
      </c>
      <c r="D16" s="21">
        <f ca="1">+$K$4+$K$5/SQRT($J$106)*TINV(1-$G$11,$J$106-1)</f>
        <v>788.45463781257672</v>
      </c>
      <c r="E16" s="21">
        <f ca="1">+$L$4-$L$5/SQRT($J$106)*TINV(1-$G$11,$J$106-1)</f>
        <v>290.22896126123214</v>
      </c>
      <c r="F16" s="21">
        <f ca="1">+$L$4+$L$5/SQRT($J$106)*TINV(1-$G$11,$J$106-1)</f>
        <v>386.93901989624021</v>
      </c>
      <c r="G16" s="22">
        <f ca="1">+M4-M5/SQRT($J$106)*TINV(1-$G$11,$J$106-1)</f>
        <v>0.18320605133138915</v>
      </c>
      <c r="H16" s="23">
        <f ca="1">+M4+M5/SQRT($J$106)*TINV(1-$G$11,$J$106-1)</f>
        <v>0.19834597459451256</v>
      </c>
      <c r="J16" s="1">
        <f t="shared" si="0"/>
        <v>10</v>
      </c>
      <c r="K16" s="28">
        <v>546.71351359037487</v>
      </c>
      <c r="L16" s="28">
        <v>207.19758959499353</v>
      </c>
      <c r="M16" s="5">
        <v>0.16633326078232802</v>
      </c>
      <c r="N16" s="1">
        <v>13</v>
      </c>
      <c r="P16" s="56">
        <f t="shared" ca="1" si="5"/>
        <v>0.19987181723040107</v>
      </c>
      <c r="Q16" s="56">
        <f t="shared" ca="1" si="1"/>
        <v>0.21297181723040107</v>
      </c>
      <c r="R16" s="58">
        <f ca="1">COUNTIF($M$6:$M$106,"&lt;"&amp;Q16)-SUM($R$7:R15)</f>
        <v>13</v>
      </c>
      <c r="S16" s="68">
        <f t="shared" ca="1" si="2"/>
        <v>0.12871287128712872</v>
      </c>
      <c r="T16" s="68">
        <f t="shared" ca="1" si="6"/>
        <v>0.26732673267326723</v>
      </c>
      <c r="U16" s="29">
        <f t="shared" ca="1" si="3"/>
        <v>21.297181723040108</v>
      </c>
      <c r="V16" s="54">
        <f t="shared" ca="1" si="4"/>
        <v>19.987181723040106</v>
      </c>
    </row>
    <row r="17" spans="3:22" ht="15.75" thickBot="1" x14ac:dyDescent="0.3">
      <c r="C17" s="24"/>
      <c r="D17" s="25"/>
      <c r="E17" s="25"/>
      <c r="F17" s="25"/>
      <c r="G17" s="25"/>
      <c r="H17" s="26"/>
      <c r="J17" s="1">
        <f t="shared" si="0"/>
        <v>11</v>
      </c>
      <c r="K17" s="28">
        <v>641.03860327546545</v>
      </c>
      <c r="L17" s="28">
        <v>287.13762525479132</v>
      </c>
      <c r="M17" s="5">
        <v>0.18466443392530563</v>
      </c>
      <c r="N17" s="1">
        <v>12</v>
      </c>
      <c r="P17" s="56">
        <f t="shared" ca="1" si="5"/>
        <v>0.21397181723040107</v>
      </c>
      <c r="Q17" s="56">
        <f t="shared" ca="1" si="1"/>
        <v>0.22707181723040107</v>
      </c>
      <c r="R17" s="58">
        <f ca="1">COUNTIF($M$6:$M$106,"&lt;"&amp;Q17)-SUM($R$7:R16)</f>
        <v>11</v>
      </c>
      <c r="S17" s="68">
        <f t="shared" ca="1" si="2"/>
        <v>0.10891089108910891</v>
      </c>
      <c r="T17" s="68">
        <f t="shared" ca="1" si="6"/>
        <v>0.15841584158415833</v>
      </c>
      <c r="U17" s="29">
        <f t="shared" ca="1" si="3"/>
        <v>22.707181723040108</v>
      </c>
      <c r="V17" s="54">
        <f t="shared" ca="1" si="4"/>
        <v>21.397181723040106</v>
      </c>
    </row>
    <row r="18" spans="3:22" x14ac:dyDescent="0.25">
      <c r="D18" s="36"/>
      <c r="J18" s="1">
        <f t="shared" si="0"/>
        <v>12</v>
      </c>
      <c r="K18" s="28">
        <v>987.13054623299797</v>
      </c>
      <c r="L18" s="28">
        <v>505.02690067071796</v>
      </c>
      <c r="M18" s="5">
        <v>0.2156833990228828</v>
      </c>
      <c r="N18" s="1">
        <v>11</v>
      </c>
      <c r="P18" s="56">
        <f t="shared" ca="1" si="5"/>
        <v>0.22807181723040107</v>
      </c>
      <c r="Q18" s="56">
        <f t="shared" ca="1" si="1"/>
        <v>0.24117181723040107</v>
      </c>
      <c r="R18" s="58">
        <f ca="1">COUNTIF($M$6:$M$106,"&lt;"&amp;Q18)-SUM($R$7:R17)</f>
        <v>5</v>
      </c>
      <c r="S18" s="68">
        <f t="shared" ca="1" si="2"/>
        <v>4.9504950495049507E-2</v>
      </c>
      <c r="T18" s="68">
        <f t="shared" ca="1" si="6"/>
        <v>0.10891089108910883</v>
      </c>
      <c r="U18" s="29">
        <f t="shared" ca="1" si="3"/>
        <v>24.117181723040108</v>
      </c>
      <c r="V18" s="54">
        <f t="shared" ca="1" si="4"/>
        <v>22.807181723040106</v>
      </c>
    </row>
    <row r="19" spans="3:22" x14ac:dyDescent="0.25">
      <c r="C19" t="s">
        <v>157</v>
      </c>
      <c r="D19" s="8">
        <f ca="1">MIN(L6:L106)</f>
        <v>-145.86082741639916</v>
      </c>
      <c r="E19" s="54">
        <f ca="1">MAX(L6:L106)</f>
        <v>1161.0065420066244</v>
      </c>
      <c r="G19">
        <v>15</v>
      </c>
      <c r="J19" s="1">
        <f t="shared" si="0"/>
        <v>13</v>
      </c>
      <c r="K19" s="28">
        <v>944.39407436511465</v>
      </c>
      <c r="L19" s="28">
        <v>473.78472898128223</v>
      </c>
      <c r="M19" s="5">
        <v>0.21227982756657737</v>
      </c>
      <c r="N19" s="1">
        <v>11</v>
      </c>
      <c r="P19" s="56">
        <f t="shared" ca="1" si="5"/>
        <v>0.24217181723040107</v>
      </c>
      <c r="Q19" s="56">
        <f t="shared" ca="1" si="1"/>
        <v>0.25527181723040104</v>
      </c>
      <c r="R19" s="58">
        <f ca="1">COUNTIF($M$6:$M$106,"&lt;"&amp;Q19)-SUM($R$7:R18)</f>
        <v>4</v>
      </c>
      <c r="S19" s="68">
        <f t="shared" ca="1" si="2"/>
        <v>3.9603960396039604E-2</v>
      </c>
      <c r="T19" s="68">
        <f t="shared" ca="1" si="6"/>
        <v>6.930693069306923E-2</v>
      </c>
      <c r="U19" s="29">
        <f t="shared" ca="1" si="3"/>
        <v>25.527181723040105</v>
      </c>
      <c r="V19" s="54">
        <f t="shared" ca="1" si="4"/>
        <v>24.217181723040106</v>
      </c>
    </row>
    <row r="20" spans="3:22" x14ac:dyDescent="0.25">
      <c r="C20" t="s">
        <v>158</v>
      </c>
      <c r="E20" s="36"/>
      <c r="F20">
        <f ca="1">ROUNDUP((E19-D19)/G19,0)</f>
        <v>88</v>
      </c>
      <c r="J20" s="1">
        <f t="shared" si="0"/>
        <v>14</v>
      </c>
      <c r="K20" s="28">
        <v>950.80717753481383</v>
      </c>
      <c r="L20" s="28">
        <v>479.81877065581227</v>
      </c>
      <c r="M20" s="5">
        <v>0.21369028103186372</v>
      </c>
      <c r="N20" s="1">
        <v>11</v>
      </c>
      <c r="P20" s="56">
        <f t="shared" ca="1" si="5"/>
        <v>0.25627181723040104</v>
      </c>
      <c r="Q20" s="56">
        <f t="shared" ca="1" si="1"/>
        <v>0.26937181723040104</v>
      </c>
      <c r="R20" s="58">
        <f ca="1">COUNTIF($M$6:$M$106,"&lt;"&amp;Q20)-SUM($R$7:R19)</f>
        <v>5</v>
      </c>
      <c r="S20" s="68">
        <f t="shared" ca="1" si="2"/>
        <v>4.9504950495049507E-2</v>
      </c>
      <c r="T20" s="68">
        <f t="shared" ca="1" si="6"/>
        <v>1.9801980198019722E-2</v>
      </c>
      <c r="U20" s="29">
        <f t="shared" ca="1" si="3"/>
        <v>26.937181723040105</v>
      </c>
      <c r="V20" s="54">
        <f t="shared" ca="1" si="4"/>
        <v>25.627181723040103</v>
      </c>
    </row>
    <row r="21" spans="3:22" x14ac:dyDescent="0.25">
      <c r="D21" s="36"/>
      <c r="J21" s="1">
        <f t="shared" si="0"/>
        <v>15</v>
      </c>
      <c r="K21" s="28">
        <v>472.42128841603852</v>
      </c>
      <c r="L21" s="28">
        <v>191.62759596430843</v>
      </c>
      <c r="M21" s="5">
        <v>0.1706773191786819</v>
      </c>
      <c r="N21" s="1">
        <v>12</v>
      </c>
      <c r="P21" s="56">
        <f t="shared" ca="1" si="5"/>
        <v>0.27037181723040105</v>
      </c>
      <c r="Q21" s="56">
        <f t="shared" ca="1" si="1"/>
        <v>0.28347181723040105</v>
      </c>
      <c r="R21" s="58">
        <f ca="1">COUNTIF($M$6:$M$106,"&lt;"&amp;Q21)-SUM($R$7:R20)</f>
        <v>2</v>
      </c>
      <c r="S21" s="68">
        <f t="shared" ca="1" si="2"/>
        <v>1.9801980198019802E-2</v>
      </c>
      <c r="T21" s="68">
        <f t="shared" ca="1" si="6"/>
        <v>-7.9797279894933126E-17</v>
      </c>
      <c r="U21" s="29">
        <f t="shared" ca="1" si="3"/>
        <v>28.347181723040105</v>
      </c>
      <c r="V21" s="54">
        <f t="shared" ca="1" si="4"/>
        <v>27.037181723040106</v>
      </c>
    </row>
    <row r="22" spans="3:22" x14ac:dyDescent="0.25">
      <c r="C22" t="s">
        <v>159</v>
      </c>
      <c r="E22" t="s">
        <v>160</v>
      </c>
      <c r="F22" t="s">
        <v>161</v>
      </c>
      <c r="G22" t="s">
        <v>180</v>
      </c>
      <c r="J22" s="1">
        <f t="shared" si="0"/>
        <v>16</v>
      </c>
      <c r="K22" s="28">
        <v>261.78218022917019</v>
      </c>
      <c r="L22" s="28">
        <v>58.299851728992245</v>
      </c>
      <c r="M22" s="5">
        <v>0.14346147610328885</v>
      </c>
      <c r="N22" s="1">
        <v>13</v>
      </c>
      <c r="P22" s="56">
        <f t="shared" ca="1" si="5"/>
        <v>0.28447181723040105</v>
      </c>
      <c r="Q22" s="56">
        <f t="shared" ca="1" si="1"/>
        <v>0.29757181723040105</v>
      </c>
      <c r="R22" s="58">
        <f ca="1">COUNTIF($M$6:$M$106,"&lt;"&amp;Q22)-SUM($R$7:R21)</f>
        <v>0</v>
      </c>
      <c r="S22" s="68">
        <f t="shared" ca="1" si="2"/>
        <v>0</v>
      </c>
      <c r="T22" s="68">
        <f t="shared" ca="1" si="6"/>
        <v>-7.9797279894933126E-17</v>
      </c>
      <c r="U22" s="29">
        <f t="shared" ca="1" si="3"/>
        <v>29.757181723040105</v>
      </c>
      <c r="V22" s="54">
        <f t="shared" ca="1" si="4"/>
        <v>28.447181723040103</v>
      </c>
    </row>
    <row r="23" spans="3:22" x14ac:dyDescent="0.25">
      <c r="C23" s="58">
        <f ca="1">+D19-F20/2</f>
        <v>-189.86082741639916</v>
      </c>
      <c r="D23" s="58">
        <f ca="1">+D19+1</f>
        <v>-144.86082741639916</v>
      </c>
      <c r="E23" s="58">
        <f ca="1">COUNTIF(L$7:L$106, "&lt;"&amp;D23)</f>
        <v>1</v>
      </c>
      <c r="F23" s="5">
        <f ca="1">+E23/($J$106+1)</f>
        <v>9.9009900990099011E-3</v>
      </c>
      <c r="G23" s="5">
        <f ca="1">100%-F23</f>
        <v>0.99009900990099009</v>
      </c>
      <c r="H23" s="58">
        <f t="shared" ref="H23:H38" ca="1" si="7">+D23</f>
        <v>-144.86082741639916</v>
      </c>
      <c r="I23" s="58">
        <f t="shared" ref="I23:I38" ca="1" si="8">+C23</f>
        <v>-189.86082741639916</v>
      </c>
      <c r="J23" s="1">
        <f t="shared" si="0"/>
        <v>17</v>
      </c>
      <c r="K23" s="28">
        <v>1288.1914278939912</v>
      </c>
      <c r="L23" s="28">
        <v>732.04067166088942</v>
      </c>
      <c r="M23" s="5">
        <v>0.25677700916384283</v>
      </c>
      <c r="N23" s="1">
        <v>10</v>
      </c>
      <c r="P23" s="56"/>
      <c r="Q23" s="68"/>
      <c r="R23" s="58"/>
      <c r="S23" s="68">
        <f ca="1">SUM(S7:S22)</f>
        <v>1.0000000000000002</v>
      </c>
      <c r="U23" s="5"/>
    </row>
    <row r="24" spans="3:22" x14ac:dyDescent="0.25">
      <c r="C24" s="58">
        <f t="shared" ref="C24:C38" ca="1" si="9">+D23+1</f>
        <v>-143.86082741639916</v>
      </c>
      <c r="D24" s="58">
        <f t="shared" ref="D24:D38" ca="1" si="10">+D23+$F$20</f>
        <v>-56.860827416399161</v>
      </c>
      <c r="E24" s="58">
        <f ca="1">COUNTIF(L$6:L$106, "&lt;"&amp;D24)-SUM($E$23:E23)</f>
        <v>2</v>
      </c>
      <c r="F24" s="5">
        <f ca="1">+E24/($J$106+1)</f>
        <v>1.9801980198019802E-2</v>
      </c>
      <c r="G24" s="5">
        <f t="shared" ref="G24:G38" ca="1" si="11">+G23-F24</f>
        <v>0.97029702970297027</v>
      </c>
      <c r="H24" s="58">
        <f t="shared" ca="1" si="7"/>
        <v>-56.860827416399161</v>
      </c>
      <c r="I24" s="58">
        <f t="shared" ca="1" si="8"/>
        <v>-143.86082741639916</v>
      </c>
      <c r="J24" s="1">
        <f t="shared" si="0"/>
        <v>18</v>
      </c>
      <c r="K24" s="28">
        <v>732.27629028604906</v>
      </c>
      <c r="L24" s="28">
        <v>320.63321936257665</v>
      </c>
      <c r="M24" s="5">
        <v>0.18357480952416472</v>
      </c>
      <c r="N24" s="1">
        <v>12</v>
      </c>
      <c r="P24" s="56"/>
      <c r="Q24" s="68"/>
      <c r="R24" s="58"/>
      <c r="U24" s="29"/>
    </row>
    <row r="25" spans="3:22" x14ac:dyDescent="0.25">
      <c r="C25" s="58">
        <f t="shared" ca="1" si="9"/>
        <v>-55.860827416399161</v>
      </c>
      <c r="D25" s="58">
        <f t="shared" ca="1" si="10"/>
        <v>31.139172583600839</v>
      </c>
      <c r="E25" s="58">
        <f ca="1">COUNTIF(L$6:L$106, "&lt;"&amp;D25)-SUM($E$23:E24)</f>
        <v>6</v>
      </c>
      <c r="F25" s="5">
        <f t="shared" ref="F25:F38" ca="1" si="12">+E25/($J$106+1)</f>
        <v>5.9405940594059403E-2</v>
      </c>
      <c r="G25" s="5">
        <f t="shared" ca="1" si="11"/>
        <v>0.91089108910891081</v>
      </c>
      <c r="H25" s="58">
        <f t="shared" ca="1" si="7"/>
        <v>31.139172583600839</v>
      </c>
      <c r="I25" s="58">
        <f t="shared" ca="1" si="8"/>
        <v>-55.860827416399161</v>
      </c>
      <c r="J25" s="1">
        <f t="shared" si="0"/>
        <v>19</v>
      </c>
      <c r="K25" s="28">
        <v>490.26308821292196</v>
      </c>
      <c r="L25" s="28">
        <v>195.60742578481356</v>
      </c>
      <c r="M25" s="5">
        <v>0.16789353457867828</v>
      </c>
      <c r="N25" s="1">
        <v>12</v>
      </c>
      <c r="P25" s="56"/>
      <c r="Q25" s="68"/>
      <c r="R25" s="58"/>
      <c r="S25" s="68"/>
      <c r="U25" s="5"/>
    </row>
    <row r="26" spans="3:22" x14ac:dyDescent="0.25">
      <c r="C26" s="58">
        <f t="shared" ca="1" si="9"/>
        <v>32.139172583600839</v>
      </c>
      <c r="D26" s="58">
        <f t="shared" ca="1" si="10"/>
        <v>119.13917258360084</v>
      </c>
      <c r="E26" s="58">
        <f ca="1">COUNTIF(L$6:L$106, "&lt;"&amp;D26)-SUM($E$23:E25)</f>
        <v>10</v>
      </c>
      <c r="F26" s="5">
        <f t="shared" ca="1" si="12"/>
        <v>9.9009900990099015E-2</v>
      </c>
      <c r="G26" s="5">
        <f t="shared" ca="1" si="11"/>
        <v>0.81188118811881183</v>
      </c>
      <c r="H26" s="58">
        <f t="shared" ca="1" si="7"/>
        <v>119.13917258360084</v>
      </c>
      <c r="I26" s="58">
        <f t="shared" ca="1" si="8"/>
        <v>32.139172583600839</v>
      </c>
      <c r="J26" s="1">
        <f t="shared" si="0"/>
        <v>20</v>
      </c>
      <c r="K26" s="28">
        <v>1402.1538065091713</v>
      </c>
      <c r="L26" s="28">
        <v>754.72916798329254</v>
      </c>
      <c r="M26" s="5">
        <v>0.24832482989874816</v>
      </c>
      <c r="N26" s="1">
        <v>10</v>
      </c>
      <c r="P26" s="56"/>
      <c r="Q26" s="68"/>
      <c r="R26" s="58"/>
      <c r="S26" s="68"/>
      <c r="U26" s="5"/>
    </row>
    <row r="27" spans="3:22" x14ac:dyDescent="0.25">
      <c r="C27" s="58">
        <f t="shared" ca="1" si="9"/>
        <v>120.13917258360084</v>
      </c>
      <c r="D27" s="58">
        <f t="shared" ca="1" si="10"/>
        <v>207.13917258360084</v>
      </c>
      <c r="E27" s="58">
        <f ca="1">COUNTIF(L$6:L$106, "&lt;"&amp;D27)-SUM($E$23:E26)</f>
        <v>10</v>
      </c>
      <c r="F27" s="5">
        <f t="shared" ca="1" si="12"/>
        <v>9.9009900990099015E-2</v>
      </c>
      <c r="G27" s="5">
        <f t="shared" ca="1" si="11"/>
        <v>0.71287128712871284</v>
      </c>
      <c r="H27" s="58">
        <f t="shared" ca="1" si="7"/>
        <v>207.13917258360084</v>
      </c>
      <c r="I27" s="58">
        <f t="shared" ca="1" si="8"/>
        <v>120.13917258360084</v>
      </c>
      <c r="J27" s="1">
        <f t="shared" si="0"/>
        <v>21</v>
      </c>
      <c r="K27" s="28">
        <v>913.68140941843433</v>
      </c>
      <c r="L27" s="28">
        <v>504.97247430089317</v>
      </c>
      <c r="M27" s="5">
        <v>0.2411336790384937</v>
      </c>
      <c r="N27" s="1">
        <v>10</v>
      </c>
      <c r="P27" s="56"/>
      <c r="Q27" s="68"/>
      <c r="R27" s="58"/>
      <c r="S27" s="68"/>
      <c r="U27" s="5"/>
    </row>
    <row r="28" spans="3:22" x14ac:dyDescent="0.25">
      <c r="C28" s="58">
        <f t="shared" ca="1" si="9"/>
        <v>208.13917258360084</v>
      </c>
      <c r="D28" s="58">
        <f t="shared" ca="1" si="10"/>
        <v>295.13917258360084</v>
      </c>
      <c r="E28" s="58">
        <f ca="1">COUNTIF(L$6:L$106, "&lt;"&amp;D28)-SUM($E$23:E27)</f>
        <v>19</v>
      </c>
      <c r="F28" s="5">
        <f t="shared" ca="1" si="12"/>
        <v>0.18811881188118812</v>
      </c>
      <c r="G28" s="5">
        <f t="shared" ca="1" si="11"/>
        <v>0.52475247524752477</v>
      </c>
      <c r="H28" s="58">
        <f t="shared" ca="1" si="7"/>
        <v>295.13917258360084</v>
      </c>
      <c r="I28" s="58">
        <f t="shared" ca="1" si="8"/>
        <v>208.13917258360084</v>
      </c>
      <c r="J28" s="1">
        <f t="shared" si="0"/>
        <v>22</v>
      </c>
      <c r="K28" s="28">
        <v>933.03244224090213</v>
      </c>
      <c r="L28" s="28">
        <v>531.88377789756589</v>
      </c>
      <c r="M28" s="5">
        <v>0.24591293022295235</v>
      </c>
      <c r="N28" s="1">
        <v>9</v>
      </c>
      <c r="P28" s="56"/>
      <c r="Q28" s="68"/>
      <c r="R28" s="58"/>
      <c r="S28" s="68"/>
      <c r="U28" s="5"/>
    </row>
    <row r="29" spans="3:22" x14ac:dyDescent="0.25">
      <c r="C29" s="58">
        <f t="shared" ca="1" si="9"/>
        <v>296.13917258360084</v>
      </c>
      <c r="D29" s="58">
        <f t="shared" ca="1" si="10"/>
        <v>383.13917258360084</v>
      </c>
      <c r="E29" s="58">
        <f ca="1">COUNTIF(L$6:L$106, "&lt;"&amp;D29)-SUM($E$23:E28)</f>
        <v>17</v>
      </c>
      <c r="F29" s="5">
        <f t="shared" ca="1" si="12"/>
        <v>0.16831683168316833</v>
      </c>
      <c r="G29" s="5">
        <f t="shared" ca="1" si="11"/>
        <v>0.35643564356435642</v>
      </c>
      <c r="H29" s="58">
        <f t="shared" ca="1" si="7"/>
        <v>383.13917258360084</v>
      </c>
      <c r="I29" s="58">
        <f t="shared" ca="1" si="8"/>
        <v>296.13917258360084</v>
      </c>
      <c r="J29" s="1">
        <f t="shared" si="0"/>
        <v>23</v>
      </c>
      <c r="K29" s="28">
        <v>1205.4819346320514</v>
      </c>
      <c r="L29" s="28">
        <v>686.13749618470706</v>
      </c>
      <c r="M29" s="5">
        <v>0.26400120833896912</v>
      </c>
      <c r="N29" s="1">
        <v>9</v>
      </c>
      <c r="P29" s="56"/>
      <c r="Q29" s="68"/>
      <c r="R29" s="58"/>
      <c r="S29" s="68"/>
      <c r="U29" s="5"/>
    </row>
    <row r="30" spans="3:22" x14ac:dyDescent="0.25">
      <c r="C30" s="58">
        <f t="shared" ca="1" si="9"/>
        <v>384.13917258360084</v>
      </c>
      <c r="D30" s="58">
        <f t="shared" ca="1" si="10"/>
        <v>471.13917258360084</v>
      </c>
      <c r="E30" s="58">
        <f ca="1">COUNTIF(L$6:L$106, "&lt;"&amp;D30)-SUM($E$23:E29)</f>
        <v>9</v>
      </c>
      <c r="F30" s="5">
        <f t="shared" ca="1" si="12"/>
        <v>8.9108910891089105E-2</v>
      </c>
      <c r="G30" s="5">
        <f t="shared" ca="1" si="11"/>
        <v>0.26732673267326734</v>
      </c>
      <c r="H30" s="58">
        <f t="shared" ca="1" si="7"/>
        <v>471.13917258360084</v>
      </c>
      <c r="I30" s="58">
        <f t="shared" ca="1" si="8"/>
        <v>384.13917258360084</v>
      </c>
      <c r="J30" s="1">
        <f t="shared" si="0"/>
        <v>24</v>
      </c>
      <c r="K30" s="28">
        <v>1478.527973562906</v>
      </c>
      <c r="L30" s="28">
        <v>775.73262736441586</v>
      </c>
      <c r="M30" s="5">
        <v>0.24274065536260814</v>
      </c>
      <c r="N30" s="1">
        <v>10</v>
      </c>
      <c r="S30" s="68"/>
      <c r="U30" s="5"/>
    </row>
    <row r="31" spans="3:22" x14ac:dyDescent="0.25">
      <c r="C31" s="58">
        <f t="shared" ca="1" si="9"/>
        <v>472.13917258360084</v>
      </c>
      <c r="D31" s="58">
        <f t="shared" ca="1" si="10"/>
        <v>559.13917258360084</v>
      </c>
      <c r="E31" s="58">
        <f ca="1">COUNTIF(L$6:L$106, "&lt;"&amp;D31)-SUM($E$23:E30)</f>
        <v>11</v>
      </c>
      <c r="F31" s="5">
        <f t="shared" ca="1" si="12"/>
        <v>0.10891089108910891</v>
      </c>
      <c r="G31" s="5">
        <f t="shared" ca="1" si="11"/>
        <v>0.15841584158415845</v>
      </c>
      <c r="H31" s="58">
        <f t="shared" ca="1" si="7"/>
        <v>559.13917258360084</v>
      </c>
      <c r="I31" s="58">
        <f t="shared" ca="1" si="8"/>
        <v>472.13917258360084</v>
      </c>
      <c r="J31" s="1">
        <f t="shared" si="0"/>
        <v>25</v>
      </c>
      <c r="K31" s="28">
        <v>585.05049025411893</v>
      </c>
      <c r="L31" s="28">
        <v>254.36593123539254</v>
      </c>
      <c r="M31" s="5">
        <v>0.17899111922368993</v>
      </c>
      <c r="N31" s="1">
        <v>12</v>
      </c>
      <c r="U31" s="5"/>
    </row>
    <row r="32" spans="3:22" x14ac:dyDescent="0.25">
      <c r="C32" s="58">
        <f t="shared" ca="1" si="9"/>
        <v>560.13917258360084</v>
      </c>
      <c r="D32" s="58">
        <f t="shared" ca="1" si="10"/>
        <v>647.13917258360084</v>
      </c>
      <c r="E32" s="58">
        <f ca="1">COUNTIF(L$6:L$106, "&lt;"&amp;D32)-SUM($E$23:E31)</f>
        <v>4</v>
      </c>
      <c r="F32" s="5">
        <f t="shared" ca="1" si="12"/>
        <v>3.9603960396039604E-2</v>
      </c>
      <c r="G32" s="5">
        <f t="shared" ca="1" si="11"/>
        <v>0.11881188118811883</v>
      </c>
      <c r="H32" s="58">
        <f t="shared" ca="1" si="7"/>
        <v>647.13917258360084</v>
      </c>
      <c r="I32" s="58">
        <f t="shared" ca="1" si="8"/>
        <v>560.13917258360084</v>
      </c>
      <c r="J32" s="1">
        <f t="shared" si="0"/>
        <v>26</v>
      </c>
      <c r="K32" s="28">
        <v>575.21799202075238</v>
      </c>
      <c r="L32" s="28">
        <v>228.42740852777001</v>
      </c>
      <c r="M32" s="5">
        <v>0.17021695886612398</v>
      </c>
      <c r="N32" s="1">
        <v>12</v>
      </c>
      <c r="U32" s="5"/>
    </row>
    <row r="33" spans="3:21" x14ac:dyDescent="0.25">
      <c r="C33" s="58">
        <f t="shared" ca="1" si="9"/>
        <v>648.13917258360084</v>
      </c>
      <c r="D33" s="58">
        <f t="shared" ca="1" si="10"/>
        <v>735.13917258360084</v>
      </c>
      <c r="E33" s="58">
        <f ca="1">COUNTIF(L$6:L$106, "&lt;"&amp;D33)-SUM($E$23:E32)</f>
        <v>4</v>
      </c>
      <c r="F33" s="5">
        <f t="shared" ca="1" si="12"/>
        <v>3.9603960396039604E-2</v>
      </c>
      <c r="G33" s="5">
        <f t="shared" ca="1" si="11"/>
        <v>7.9207920792079223E-2</v>
      </c>
      <c r="H33" s="58">
        <f t="shared" ca="1" si="7"/>
        <v>735.13917258360084</v>
      </c>
      <c r="I33" s="58">
        <f t="shared" ca="1" si="8"/>
        <v>648.13917258360084</v>
      </c>
      <c r="J33" s="1">
        <f t="shared" si="0"/>
        <v>27</v>
      </c>
      <c r="K33" s="28">
        <v>837.74283115181458</v>
      </c>
      <c r="L33" s="28">
        <v>427.17625844857253</v>
      </c>
      <c r="M33" s="5">
        <v>0.21037357398150647</v>
      </c>
      <c r="N33" s="1">
        <v>11</v>
      </c>
      <c r="U33" s="5"/>
    </row>
    <row r="34" spans="3:21" x14ac:dyDescent="0.25">
      <c r="C34" s="58">
        <f t="shared" ca="1" si="9"/>
        <v>736.13917258360084</v>
      </c>
      <c r="D34" s="58">
        <f t="shared" ca="1" si="10"/>
        <v>823.13917258360084</v>
      </c>
      <c r="E34" s="58">
        <f ca="1">COUNTIF(L$6:L$106, "&lt;"&amp;D34)-SUM($E$23:E33)</f>
        <v>5</v>
      </c>
      <c r="F34" s="5">
        <f t="shared" ca="1" si="12"/>
        <v>4.9504950495049507E-2</v>
      </c>
      <c r="G34" s="5">
        <f t="shared" ca="1" si="11"/>
        <v>2.9702970297029715E-2</v>
      </c>
      <c r="H34" s="58">
        <f t="shared" ca="1" si="7"/>
        <v>823.13917258360084</v>
      </c>
      <c r="I34" s="58">
        <f t="shared" ca="1" si="8"/>
        <v>736.13917258360084</v>
      </c>
      <c r="J34" s="1">
        <f t="shared" si="0"/>
        <v>28</v>
      </c>
      <c r="K34" s="28">
        <v>640.01922977343793</v>
      </c>
      <c r="L34" s="28">
        <v>301.36754591911989</v>
      </c>
      <c r="M34" s="5">
        <v>0.19187220437640473</v>
      </c>
      <c r="N34" s="1">
        <v>11</v>
      </c>
      <c r="U34" s="5"/>
    </row>
    <row r="35" spans="3:21" x14ac:dyDescent="0.25">
      <c r="C35" s="58">
        <f t="shared" ca="1" si="9"/>
        <v>824.13917258360084</v>
      </c>
      <c r="D35" s="58">
        <f t="shared" ca="1" si="10"/>
        <v>911.13917258360084</v>
      </c>
      <c r="E35" s="58">
        <f ca="1">COUNTIF(L$6:L$106, "&lt;"&amp;D35)-SUM($E$23:E34)</f>
        <v>0</v>
      </c>
      <c r="F35" s="5">
        <f t="shared" ca="1" si="12"/>
        <v>0</v>
      </c>
      <c r="G35" s="5">
        <f t="shared" ca="1" si="11"/>
        <v>2.9702970297029715E-2</v>
      </c>
      <c r="H35" s="58">
        <f t="shared" ca="1" si="7"/>
        <v>911.13917258360084</v>
      </c>
      <c r="I35" s="58">
        <f t="shared" ca="1" si="8"/>
        <v>824.13917258360084</v>
      </c>
      <c r="J35" s="1">
        <f t="shared" si="0"/>
        <v>29</v>
      </c>
      <c r="K35" s="28">
        <v>423.73815516049495</v>
      </c>
      <c r="L35" s="28">
        <v>138.92340898048434</v>
      </c>
      <c r="M35" s="5">
        <v>0.15619451245550375</v>
      </c>
      <c r="N35" s="1">
        <v>12</v>
      </c>
      <c r="U35" s="5"/>
    </row>
    <row r="36" spans="3:21" x14ac:dyDescent="0.25">
      <c r="C36" s="58">
        <f t="shared" ca="1" si="9"/>
        <v>912.13917258360084</v>
      </c>
      <c r="D36" s="58">
        <f t="shared" ca="1" si="10"/>
        <v>999.13917258360084</v>
      </c>
      <c r="E36" s="58">
        <f ca="1">COUNTIF(L$6:L$106, "&lt;"&amp;D36)-SUM($E$23:E35)</f>
        <v>2</v>
      </c>
      <c r="F36" s="5">
        <f t="shared" ca="1" si="12"/>
        <v>1.9801980198019802E-2</v>
      </c>
      <c r="G36" s="5">
        <f t="shared" ca="1" si="11"/>
        <v>9.9009900990099133E-3</v>
      </c>
      <c r="H36" s="58">
        <f t="shared" ca="1" si="7"/>
        <v>999.13917258360084</v>
      </c>
      <c r="I36" s="58">
        <f t="shared" ca="1" si="8"/>
        <v>912.13917258360084</v>
      </c>
      <c r="J36" s="1">
        <f t="shared" si="0"/>
        <v>30</v>
      </c>
      <c r="K36" s="28">
        <v>761.18076075600698</v>
      </c>
      <c r="L36" s="28">
        <v>371.78327513915144</v>
      </c>
      <c r="M36" s="5">
        <v>0.20244566113732176</v>
      </c>
      <c r="N36" s="1">
        <v>11</v>
      </c>
      <c r="U36" s="5"/>
    </row>
    <row r="37" spans="3:21" x14ac:dyDescent="0.25">
      <c r="C37" s="58">
        <f t="shared" ca="1" si="9"/>
        <v>1000.1391725836008</v>
      </c>
      <c r="D37" s="58">
        <f t="shared" ca="1" si="10"/>
        <v>1087.1391725836008</v>
      </c>
      <c r="E37" s="58">
        <f ca="1">COUNTIF(L$6:L$106, "&lt;"&amp;D37)-SUM($E$23:E36)</f>
        <v>0</v>
      </c>
      <c r="F37" s="5">
        <f t="shared" ca="1" si="12"/>
        <v>0</v>
      </c>
      <c r="G37" s="5">
        <f t="shared" ca="1" si="11"/>
        <v>9.9009900990099133E-3</v>
      </c>
      <c r="H37" s="58">
        <f t="shared" ca="1" si="7"/>
        <v>1087.1391725836008</v>
      </c>
      <c r="I37" s="58">
        <f t="shared" ca="1" si="8"/>
        <v>1000.1391725836008</v>
      </c>
      <c r="J37" s="1">
        <f t="shared" si="0"/>
        <v>31</v>
      </c>
      <c r="K37" s="28">
        <v>989.77994741583302</v>
      </c>
      <c r="L37" s="28">
        <v>514.9198255375461</v>
      </c>
      <c r="M37" s="5">
        <v>0.21871344659083647</v>
      </c>
      <c r="N37" s="1">
        <v>10</v>
      </c>
      <c r="Q37" s="56"/>
      <c r="U37" s="5"/>
    </row>
    <row r="38" spans="3:21" x14ac:dyDescent="0.25">
      <c r="C38" s="58">
        <f t="shared" ca="1" si="9"/>
        <v>1088.1391725836008</v>
      </c>
      <c r="D38" s="58">
        <f t="shared" ca="1" si="10"/>
        <v>1175.1391725836008</v>
      </c>
      <c r="E38" s="58">
        <f ca="1">COUNTIF(L$6:L$106, "&lt;"&amp;D38)-SUM($E$23:E37)</f>
        <v>1</v>
      </c>
      <c r="F38" s="5">
        <f t="shared" ca="1" si="12"/>
        <v>9.9009900990099011E-3</v>
      </c>
      <c r="G38" s="5">
        <f t="shared" ca="1" si="11"/>
        <v>0</v>
      </c>
      <c r="H38" s="58">
        <f t="shared" ca="1" si="7"/>
        <v>1175.1391725836008</v>
      </c>
      <c r="I38" s="58">
        <f t="shared" ca="1" si="8"/>
        <v>1088.1391725836008</v>
      </c>
      <c r="J38" s="1">
        <f t="shared" si="0"/>
        <v>32</v>
      </c>
      <c r="K38" s="28">
        <v>741.82673419170612</v>
      </c>
      <c r="L38" s="28">
        <v>344.40802445744282</v>
      </c>
      <c r="M38" s="5">
        <v>0.18829030903294175</v>
      </c>
      <c r="N38" s="1">
        <v>12</v>
      </c>
      <c r="Q38" s="56"/>
      <c r="U38" s="5"/>
    </row>
    <row r="39" spans="3:21" x14ac:dyDescent="0.25">
      <c r="C39" s="58"/>
      <c r="D39" s="58"/>
      <c r="E39" s="58"/>
      <c r="F39" s="5"/>
      <c r="G39" s="5"/>
      <c r="H39" s="58"/>
      <c r="I39" s="58"/>
      <c r="J39" s="1">
        <f t="shared" si="0"/>
        <v>33</v>
      </c>
      <c r="K39" s="28">
        <v>453.21239300231241</v>
      </c>
      <c r="L39" s="28">
        <v>182.39688754113044</v>
      </c>
      <c r="M39" s="5">
        <v>0.16961394274293862</v>
      </c>
      <c r="N39" s="1">
        <v>12</v>
      </c>
      <c r="U39" s="5"/>
    </row>
    <row r="40" spans="3:21" x14ac:dyDescent="0.25">
      <c r="C40" s="8"/>
      <c r="D40" s="55"/>
      <c r="J40" s="1">
        <f t="shared" ref="J40:J71" si="13">+J39+1</f>
        <v>34</v>
      </c>
      <c r="K40" s="28">
        <v>767.17113251309729</v>
      </c>
      <c r="L40" s="28">
        <v>400.39232479889472</v>
      </c>
      <c r="M40" s="5">
        <v>0.21028426667822853</v>
      </c>
      <c r="N40" s="1">
        <v>10</v>
      </c>
      <c r="U40" s="5"/>
    </row>
    <row r="41" spans="3:21" x14ac:dyDescent="0.25">
      <c r="C41" s="8"/>
      <c r="D41" s="55"/>
      <c r="J41" s="1">
        <f t="shared" si="13"/>
        <v>35</v>
      </c>
      <c r="K41" s="28">
        <v>986.4067492226734</v>
      </c>
      <c r="L41" s="28">
        <v>501.37940047770752</v>
      </c>
      <c r="M41" s="5">
        <v>0.22039656084308601</v>
      </c>
      <c r="N41" s="1">
        <v>10</v>
      </c>
      <c r="U41" s="5"/>
    </row>
    <row r="42" spans="3:21" x14ac:dyDescent="0.25">
      <c r="C42" s="8"/>
      <c r="D42" s="55"/>
      <c r="J42" s="1">
        <f t="shared" si="13"/>
        <v>36</v>
      </c>
      <c r="K42" s="28">
        <v>1259.8857000667176</v>
      </c>
      <c r="L42" s="28">
        <v>694.40595907968191</v>
      </c>
      <c r="M42" s="5">
        <v>0.24698750655123991</v>
      </c>
      <c r="N42" s="1">
        <v>10</v>
      </c>
      <c r="U42" s="5"/>
    </row>
    <row r="43" spans="3:21" x14ac:dyDescent="0.25">
      <c r="C43" s="8"/>
      <c r="D43" s="55"/>
      <c r="J43" s="1">
        <f t="shared" si="13"/>
        <v>37</v>
      </c>
      <c r="K43" s="28">
        <v>740.5261759874096</v>
      </c>
      <c r="L43" s="28">
        <v>365.43086241468995</v>
      </c>
      <c r="M43" s="5">
        <v>0.20267139397645662</v>
      </c>
      <c r="N43" s="1">
        <v>11</v>
      </c>
      <c r="U43" s="5"/>
    </row>
    <row r="44" spans="3:21" x14ac:dyDescent="0.25">
      <c r="C44" s="8"/>
      <c r="D44" s="55"/>
      <c r="J44" s="1">
        <f t="shared" si="13"/>
        <v>38</v>
      </c>
      <c r="K44" s="28">
        <v>335.8466014958899</v>
      </c>
      <c r="L44" s="28">
        <v>104.73548180504402</v>
      </c>
      <c r="M44" s="5">
        <v>0.15323149974898032</v>
      </c>
      <c r="N44" s="1">
        <v>13</v>
      </c>
      <c r="U44" s="5"/>
    </row>
    <row r="45" spans="3:21" x14ac:dyDescent="0.25">
      <c r="C45" s="8"/>
      <c r="D45" s="55"/>
      <c r="J45" s="1">
        <f t="shared" si="13"/>
        <v>39</v>
      </c>
      <c r="K45" s="28">
        <v>624.38924008939125</v>
      </c>
      <c r="L45" s="28">
        <v>278.95609733377302</v>
      </c>
      <c r="M45" s="5">
        <v>0.18528482149970227</v>
      </c>
      <c r="N45" s="1">
        <v>11</v>
      </c>
      <c r="U45" s="5"/>
    </row>
    <row r="46" spans="3:21" x14ac:dyDescent="0.25">
      <c r="C46" s="8"/>
      <c r="D46" s="55"/>
      <c r="J46" s="1">
        <f t="shared" si="13"/>
        <v>40</v>
      </c>
      <c r="K46" s="28">
        <v>720.70315612491356</v>
      </c>
      <c r="L46" s="28">
        <v>331.3554385582193</v>
      </c>
      <c r="M46" s="5">
        <v>0.18913885984562717</v>
      </c>
      <c r="N46" s="1">
        <v>11</v>
      </c>
      <c r="U46" s="5"/>
    </row>
    <row r="47" spans="3:21" x14ac:dyDescent="0.25">
      <c r="C47" s="8"/>
      <c r="D47" s="55"/>
      <c r="J47" s="1">
        <f t="shared" si="13"/>
        <v>41</v>
      </c>
      <c r="K47" s="28">
        <v>565.86140145208844</v>
      </c>
      <c r="L47" s="28">
        <v>252.13906280512882</v>
      </c>
      <c r="M47" s="5">
        <v>0.18366378458700927</v>
      </c>
      <c r="N47" s="1">
        <v>11</v>
      </c>
      <c r="U47" s="5"/>
    </row>
    <row r="48" spans="3:21" x14ac:dyDescent="0.25">
      <c r="C48" s="8"/>
      <c r="D48" s="55"/>
      <c r="J48" s="1">
        <f t="shared" si="13"/>
        <v>42</v>
      </c>
      <c r="K48" s="28">
        <v>602.09896187185484</v>
      </c>
      <c r="L48" s="28">
        <v>288.39210193733049</v>
      </c>
      <c r="M48" s="5">
        <v>0.19224974702428121</v>
      </c>
      <c r="N48" s="1">
        <v>10</v>
      </c>
      <c r="U48" s="5"/>
    </row>
    <row r="49" spans="3:21" x14ac:dyDescent="0.25">
      <c r="C49" s="8"/>
      <c r="D49" s="55"/>
      <c r="J49" s="1">
        <f t="shared" si="13"/>
        <v>43</v>
      </c>
      <c r="K49" s="28">
        <v>1441.3386479580211</v>
      </c>
      <c r="L49" s="28">
        <v>818.64037468165418</v>
      </c>
      <c r="M49" s="5">
        <v>0.26922357337465441</v>
      </c>
      <c r="N49" s="1">
        <v>9</v>
      </c>
      <c r="U49" s="5"/>
    </row>
    <row r="50" spans="3:21" x14ac:dyDescent="0.25">
      <c r="C50" s="8"/>
      <c r="D50" s="55"/>
      <c r="J50" s="1">
        <f t="shared" si="13"/>
        <v>44</v>
      </c>
      <c r="K50" s="28">
        <v>17.313821665613283</v>
      </c>
      <c r="L50" s="28">
        <v>-98.092309558839489</v>
      </c>
      <c r="M50" s="5">
        <v>0.10342287242200143</v>
      </c>
      <c r="N50" s="1">
        <v>15</v>
      </c>
      <c r="U50" s="5"/>
    </row>
    <row r="51" spans="3:21" x14ac:dyDescent="0.25">
      <c r="D51" s="55"/>
      <c r="J51" s="1">
        <f t="shared" si="13"/>
        <v>45</v>
      </c>
      <c r="K51" s="28">
        <v>524.57212101947459</v>
      </c>
      <c r="L51" s="28">
        <v>245.89661939111647</v>
      </c>
      <c r="M51" s="5">
        <v>0.1888780569849815</v>
      </c>
      <c r="N51" s="1">
        <v>11</v>
      </c>
      <c r="U51" s="5"/>
    </row>
    <row r="52" spans="3:21" x14ac:dyDescent="0.25">
      <c r="D52" s="55"/>
      <c r="J52" s="1">
        <f t="shared" si="13"/>
        <v>46</v>
      </c>
      <c r="K52" s="28">
        <v>730.39262069648714</v>
      </c>
      <c r="L52" s="28">
        <v>354.04632889705948</v>
      </c>
      <c r="M52" s="5">
        <v>0.1965347987766437</v>
      </c>
      <c r="N52" s="1">
        <v>10</v>
      </c>
      <c r="U52" s="5"/>
    </row>
    <row r="53" spans="3:21" x14ac:dyDescent="0.25">
      <c r="D53" s="55"/>
      <c r="J53" s="1">
        <f t="shared" si="13"/>
        <v>47</v>
      </c>
      <c r="K53" s="28">
        <v>706.73869926024054</v>
      </c>
      <c r="L53" s="28">
        <v>316.54533407363056</v>
      </c>
      <c r="M53" s="5">
        <v>0.18589949261644789</v>
      </c>
      <c r="N53" s="1">
        <v>12</v>
      </c>
      <c r="U53" s="5"/>
    </row>
    <row r="54" spans="3:21" x14ac:dyDescent="0.25">
      <c r="D54" s="55"/>
      <c r="J54" s="1">
        <f t="shared" si="13"/>
        <v>48</v>
      </c>
      <c r="K54" s="28">
        <v>374.35666690639772</v>
      </c>
      <c r="L54" s="28">
        <v>105.98842134186441</v>
      </c>
      <c r="M54" s="5">
        <v>0.15000956124589981</v>
      </c>
      <c r="N54" s="1">
        <v>13</v>
      </c>
      <c r="U54" s="5"/>
    </row>
    <row r="55" spans="3:21" x14ac:dyDescent="0.25">
      <c r="D55" s="55"/>
      <c r="J55" s="1">
        <f t="shared" si="13"/>
        <v>49</v>
      </c>
      <c r="K55" s="28">
        <v>1453.2874172904869</v>
      </c>
      <c r="L55" s="28">
        <v>807.40420143897813</v>
      </c>
      <c r="M55" s="5">
        <v>0.25758833203822085</v>
      </c>
      <c r="N55" s="1">
        <v>10</v>
      </c>
      <c r="U55" s="5"/>
    </row>
    <row r="56" spans="3:21" x14ac:dyDescent="0.25">
      <c r="D56" s="55"/>
      <c r="J56" s="1">
        <f t="shared" si="13"/>
        <v>50</v>
      </c>
      <c r="K56" s="28">
        <v>500.88413496407048</v>
      </c>
      <c r="L56" s="28">
        <v>190.90851917920654</v>
      </c>
      <c r="M56" s="5">
        <v>0.16616477404522323</v>
      </c>
      <c r="N56" s="1">
        <v>12</v>
      </c>
      <c r="U56" s="5"/>
    </row>
    <row r="57" spans="3:21" x14ac:dyDescent="0.25">
      <c r="D57" s="55"/>
      <c r="J57" s="1">
        <f t="shared" si="13"/>
        <v>51</v>
      </c>
      <c r="K57" s="28">
        <v>770.25616078704695</v>
      </c>
      <c r="L57" s="28">
        <v>358.8078149786873</v>
      </c>
      <c r="M57" s="5">
        <v>0.19198675293063805</v>
      </c>
      <c r="N57" s="1">
        <v>11</v>
      </c>
      <c r="U57" s="5"/>
    </row>
    <row r="58" spans="3:21" x14ac:dyDescent="0.25">
      <c r="D58" s="55"/>
      <c r="J58" s="1">
        <f t="shared" si="13"/>
        <v>52</v>
      </c>
      <c r="K58" s="28">
        <v>251.55740076851532</v>
      </c>
      <c r="L58" s="28">
        <v>49.247720574520962</v>
      </c>
      <c r="M58" s="5">
        <v>0.14141662683206868</v>
      </c>
      <c r="N58" s="1">
        <v>13</v>
      </c>
      <c r="U58" s="5"/>
    </row>
    <row r="59" spans="3:21" x14ac:dyDescent="0.25">
      <c r="D59" s="55"/>
      <c r="J59" s="1">
        <f t="shared" si="13"/>
        <v>53</v>
      </c>
      <c r="K59" s="28">
        <v>581.11532058538307</v>
      </c>
      <c r="L59" s="28">
        <v>273.20940226656484</v>
      </c>
      <c r="M59" s="5">
        <v>0.1907412926816594</v>
      </c>
      <c r="N59" s="1">
        <v>11</v>
      </c>
      <c r="U59" s="5"/>
    </row>
    <row r="60" spans="3:21" x14ac:dyDescent="0.25">
      <c r="D60" s="55"/>
      <c r="J60" s="1">
        <f t="shared" si="13"/>
        <v>54</v>
      </c>
      <c r="K60" s="28">
        <v>682.43391588621466</v>
      </c>
      <c r="L60" s="28">
        <v>315.72158193774544</v>
      </c>
      <c r="M60" s="5">
        <v>0.1884933049297044</v>
      </c>
      <c r="N60" s="1">
        <v>12</v>
      </c>
      <c r="U60" s="5"/>
    </row>
    <row r="61" spans="3:21" x14ac:dyDescent="0.25">
      <c r="D61" s="55"/>
      <c r="J61" s="1">
        <f t="shared" si="13"/>
        <v>55</v>
      </c>
      <c r="K61" s="28">
        <v>-59.959758949933885</v>
      </c>
      <c r="L61" s="28">
        <v>-145.86082741639916</v>
      </c>
      <c r="M61" s="5">
        <v>8.6871817230401049E-2</v>
      </c>
      <c r="N61" s="1">
        <v>15</v>
      </c>
      <c r="U61" s="5"/>
    </row>
    <row r="62" spans="3:21" x14ac:dyDescent="0.25">
      <c r="D62" s="55"/>
      <c r="J62" s="1">
        <f t="shared" si="13"/>
        <v>56</v>
      </c>
      <c r="K62" s="28">
        <v>697.75600245612077</v>
      </c>
      <c r="L62" s="28">
        <v>345.97661447501753</v>
      </c>
      <c r="M62" s="5">
        <v>0.20027866485350643</v>
      </c>
      <c r="N62" s="1">
        <v>11</v>
      </c>
      <c r="U62" s="5"/>
    </row>
    <row r="63" spans="3:21" x14ac:dyDescent="0.25">
      <c r="D63" s="55"/>
      <c r="J63" s="1">
        <f t="shared" si="13"/>
        <v>57</v>
      </c>
      <c r="K63" s="28">
        <v>702.48418078624672</v>
      </c>
      <c r="L63" s="28">
        <v>361.69028887564366</v>
      </c>
      <c r="M63" s="5">
        <v>0.20492398878646845</v>
      </c>
      <c r="N63" s="1">
        <v>11</v>
      </c>
      <c r="U63" s="5"/>
    </row>
    <row r="64" spans="3:21" x14ac:dyDescent="0.25">
      <c r="D64" s="55"/>
      <c r="J64" s="1">
        <f t="shared" si="13"/>
        <v>58</v>
      </c>
      <c r="K64" s="28">
        <v>336.716193060416</v>
      </c>
      <c r="L64" s="28">
        <v>106.81365644782657</v>
      </c>
      <c r="M64" s="5">
        <v>0.15440906875664573</v>
      </c>
      <c r="N64" s="1">
        <v>13</v>
      </c>
      <c r="U64" s="5"/>
    </row>
    <row r="65" spans="4:21" x14ac:dyDescent="0.25">
      <c r="D65" s="55"/>
      <c r="J65" s="1">
        <f t="shared" si="13"/>
        <v>59</v>
      </c>
      <c r="K65" s="28">
        <v>1154.7272502017061</v>
      </c>
      <c r="L65" s="28">
        <v>586.19540169375671</v>
      </c>
      <c r="M65" s="5">
        <v>0.22009735808392894</v>
      </c>
      <c r="N65" s="1">
        <v>10</v>
      </c>
      <c r="U65" s="5"/>
    </row>
    <row r="66" spans="4:21" x14ac:dyDescent="0.25">
      <c r="D66" s="55"/>
      <c r="J66" s="1">
        <f t="shared" si="13"/>
        <v>60</v>
      </c>
      <c r="K66" s="28">
        <v>859.03309723577274</v>
      </c>
      <c r="L66" s="28">
        <v>429.45484565575686</v>
      </c>
      <c r="M66" s="5">
        <v>0.20401694764393286</v>
      </c>
      <c r="N66" s="1">
        <v>11</v>
      </c>
      <c r="U66" s="5"/>
    </row>
    <row r="67" spans="4:21" x14ac:dyDescent="0.25">
      <c r="D67" s="55"/>
      <c r="J67" s="1">
        <f t="shared" si="13"/>
        <v>61</v>
      </c>
      <c r="K67" s="28">
        <v>566.23173766744605</v>
      </c>
      <c r="L67" s="28">
        <v>269.40861939398536</v>
      </c>
      <c r="M67" s="5">
        <v>0.18935873694702976</v>
      </c>
      <c r="N67" s="1">
        <v>11</v>
      </c>
      <c r="U67" s="5"/>
    </row>
    <row r="68" spans="4:21" x14ac:dyDescent="0.25">
      <c r="D68" s="55"/>
      <c r="J68" s="1">
        <f t="shared" si="13"/>
        <v>62</v>
      </c>
      <c r="K68" s="28">
        <v>866.72353713272389</v>
      </c>
      <c r="L68" s="28">
        <v>457.63503248221832</v>
      </c>
      <c r="M68" s="5">
        <v>0.22141089445793449</v>
      </c>
      <c r="N68" s="1">
        <v>10</v>
      </c>
      <c r="U68" s="5"/>
    </row>
    <row r="69" spans="4:21" x14ac:dyDescent="0.25">
      <c r="D69" s="55"/>
      <c r="J69" s="1">
        <f t="shared" si="13"/>
        <v>63</v>
      </c>
      <c r="K69" s="28">
        <v>344.43986646668179</v>
      </c>
      <c r="L69" s="28">
        <v>140.48693182702874</v>
      </c>
      <c r="M69" s="5">
        <v>0.17019620526987866</v>
      </c>
      <c r="N69" s="1">
        <v>11</v>
      </c>
      <c r="U69" s="5"/>
    </row>
    <row r="70" spans="4:21" x14ac:dyDescent="0.25">
      <c r="D70" s="55"/>
      <c r="J70" s="1">
        <f t="shared" si="13"/>
        <v>64</v>
      </c>
      <c r="K70" s="28">
        <v>892.16167137371849</v>
      </c>
      <c r="L70" s="28">
        <v>453.7305920155801</v>
      </c>
      <c r="M70" s="5">
        <v>0.21294277504025483</v>
      </c>
      <c r="N70" s="1">
        <v>10</v>
      </c>
      <c r="U70" s="5"/>
    </row>
    <row r="71" spans="4:21" x14ac:dyDescent="0.25">
      <c r="D71" s="55"/>
      <c r="J71" s="1">
        <f t="shared" si="13"/>
        <v>65</v>
      </c>
      <c r="K71" s="28">
        <v>1557.3694913232109</v>
      </c>
      <c r="L71" s="28">
        <v>813.23870161329171</v>
      </c>
      <c r="M71" s="5">
        <v>0.23644378876184158</v>
      </c>
      <c r="N71" s="1">
        <v>11</v>
      </c>
      <c r="U71" s="5"/>
    </row>
    <row r="72" spans="4:21" x14ac:dyDescent="0.25">
      <c r="D72" s="55"/>
      <c r="J72" s="1">
        <f t="shared" ref="J72:J106" si="14">+J71+1</f>
        <v>66</v>
      </c>
      <c r="K72" s="28">
        <v>443.59183050770014</v>
      </c>
      <c r="L72" s="28">
        <v>161.65775117910925</v>
      </c>
      <c r="M72" s="5">
        <v>0.16364054373659109</v>
      </c>
      <c r="N72" s="1">
        <v>13</v>
      </c>
      <c r="U72" s="5"/>
    </row>
    <row r="73" spans="4:21" x14ac:dyDescent="0.25">
      <c r="D73" s="55"/>
      <c r="J73" s="1">
        <f t="shared" si="14"/>
        <v>67</v>
      </c>
      <c r="K73" s="28">
        <v>329.26001190096332</v>
      </c>
      <c r="L73" s="28">
        <v>100.59554777796747</v>
      </c>
      <c r="M73" s="5">
        <v>0.15201975273206569</v>
      </c>
      <c r="N73" s="1">
        <v>12</v>
      </c>
      <c r="U73" s="5"/>
    </row>
    <row r="74" spans="4:21" x14ac:dyDescent="0.25">
      <c r="D74" s="55"/>
      <c r="J74" s="1">
        <f t="shared" si="14"/>
        <v>68</v>
      </c>
      <c r="K74" s="28">
        <v>694.61689364122378</v>
      </c>
      <c r="L74" s="28">
        <v>296.54088650519901</v>
      </c>
      <c r="M74" s="5">
        <v>0.17921730806854397</v>
      </c>
      <c r="N74" s="1">
        <v>12</v>
      </c>
      <c r="U74" s="5"/>
    </row>
    <row r="75" spans="4:21" x14ac:dyDescent="0.25">
      <c r="D75" s="55"/>
      <c r="J75" s="1">
        <f t="shared" si="14"/>
        <v>69</v>
      </c>
      <c r="K75" s="28">
        <v>1147.7561259969298</v>
      </c>
      <c r="L75" s="28">
        <v>617.53377392371362</v>
      </c>
      <c r="M75" s="5">
        <v>0.23056826545985598</v>
      </c>
      <c r="N75" s="1">
        <v>10</v>
      </c>
      <c r="U75" s="5"/>
    </row>
    <row r="76" spans="4:21" x14ac:dyDescent="0.25">
      <c r="D76" s="55"/>
      <c r="J76" s="1">
        <f t="shared" si="14"/>
        <v>70</v>
      </c>
      <c r="K76" s="28">
        <v>641.67383373036046</v>
      </c>
      <c r="L76" s="28">
        <v>300.69420667430398</v>
      </c>
      <c r="M76" s="5">
        <v>0.18780505084447685</v>
      </c>
      <c r="N76" s="1">
        <v>12</v>
      </c>
      <c r="U76" s="5"/>
    </row>
    <row r="77" spans="4:21" x14ac:dyDescent="0.25">
      <c r="D77" s="55"/>
      <c r="J77" s="1">
        <f t="shared" si="14"/>
        <v>71</v>
      </c>
      <c r="K77" s="28">
        <v>578.26903577307837</v>
      </c>
      <c r="L77" s="28">
        <v>243.16652110444664</v>
      </c>
      <c r="M77" s="5">
        <v>0.17530061269090713</v>
      </c>
      <c r="N77" s="1">
        <v>12</v>
      </c>
      <c r="U77" s="5"/>
    </row>
    <row r="78" spans="4:21" x14ac:dyDescent="0.25">
      <c r="D78" s="55"/>
      <c r="J78" s="1">
        <f t="shared" si="14"/>
        <v>72</v>
      </c>
      <c r="K78" s="28">
        <v>749.92717366994589</v>
      </c>
      <c r="L78" s="28">
        <v>400.93441643788748</v>
      </c>
      <c r="M78" s="5">
        <v>0.21594099011251688</v>
      </c>
      <c r="N78" s="1">
        <v>10</v>
      </c>
      <c r="U78" s="5"/>
    </row>
    <row r="79" spans="4:21" x14ac:dyDescent="0.25">
      <c r="D79" s="55"/>
      <c r="J79" s="1">
        <f t="shared" si="14"/>
        <v>73</v>
      </c>
      <c r="K79" s="28">
        <v>657.24783680506198</v>
      </c>
      <c r="L79" s="28">
        <v>296.91408687614467</v>
      </c>
      <c r="M79" s="5">
        <v>0.18634893216642379</v>
      </c>
      <c r="N79" s="1">
        <v>12</v>
      </c>
      <c r="U79" s="5"/>
    </row>
    <row r="80" spans="4:21" x14ac:dyDescent="0.25">
      <c r="D80" s="55"/>
      <c r="J80" s="1">
        <f t="shared" si="14"/>
        <v>74</v>
      </c>
      <c r="K80" s="28">
        <v>980.53546877855831</v>
      </c>
      <c r="L80" s="28">
        <v>532.28276777981375</v>
      </c>
      <c r="M80" s="5">
        <v>0.22387633891647063</v>
      </c>
      <c r="N80" s="1">
        <v>10</v>
      </c>
      <c r="U80" s="5"/>
    </row>
    <row r="81" spans="4:21" x14ac:dyDescent="0.25">
      <c r="D81" s="55"/>
      <c r="J81" s="1">
        <f t="shared" si="14"/>
        <v>75</v>
      </c>
      <c r="K81" s="28">
        <v>294.13027915934452</v>
      </c>
      <c r="L81" s="28">
        <v>104.47162008211993</v>
      </c>
      <c r="M81" s="5">
        <v>0.15894231616528964</v>
      </c>
      <c r="N81" s="1">
        <v>11</v>
      </c>
      <c r="U81" s="5"/>
    </row>
    <row r="82" spans="4:21" x14ac:dyDescent="0.25">
      <c r="D82" s="55"/>
      <c r="J82" s="1">
        <f t="shared" si="14"/>
        <v>76</v>
      </c>
      <c r="K82" s="28">
        <v>307.93627257194044</v>
      </c>
      <c r="L82" s="28">
        <v>65.898044316707882</v>
      </c>
      <c r="M82" s="5">
        <v>0.14296140124309709</v>
      </c>
      <c r="N82" s="1">
        <v>14</v>
      </c>
      <c r="U82" s="5"/>
    </row>
    <row r="83" spans="4:21" x14ac:dyDescent="0.25">
      <c r="D83" s="55"/>
      <c r="J83" s="1">
        <f t="shared" si="14"/>
        <v>77</v>
      </c>
      <c r="K83" s="28">
        <v>178.9123626034748</v>
      </c>
      <c r="L83" s="28">
        <v>26.81926568562487</v>
      </c>
      <c r="M83" s="5">
        <v>0.13782138655193843</v>
      </c>
      <c r="N83" s="1">
        <v>13</v>
      </c>
      <c r="U83" s="5"/>
    </row>
    <row r="84" spans="4:21" x14ac:dyDescent="0.25">
      <c r="D84" s="55"/>
      <c r="J84" s="1">
        <f t="shared" si="14"/>
        <v>78</v>
      </c>
      <c r="K84" s="28">
        <v>773.66587350080886</v>
      </c>
      <c r="L84" s="28">
        <v>384.19498884029917</v>
      </c>
      <c r="M84" s="5">
        <v>0.20323292719417241</v>
      </c>
      <c r="N84" s="1">
        <v>11</v>
      </c>
      <c r="U84" s="5"/>
    </row>
    <row r="85" spans="4:21" x14ac:dyDescent="0.25">
      <c r="D85" s="55"/>
      <c r="J85" s="1">
        <f t="shared" si="14"/>
        <v>79</v>
      </c>
      <c r="K85" s="28">
        <v>965.3267350665177</v>
      </c>
      <c r="L85" s="28">
        <v>505.58045300626929</v>
      </c>
      <c r="M85" s="5">
        <v>0.22425840102266803</v>
      </c>
      <c r="N85" s="1">
        <v>11</v>
      </c>
      <c r="U85" s="5"/>
    </row>
    <row r="86" spans="4:21" x14ac:dyDescent="0.25">
      <c r="D86" s="55"/>
      <c r="J86" s="1">
        <f t="shared" si="14"/>
        <v>80</v>
      </c>
      <c r="K86" s="28">
        <v>1018.1397277833498</v>
      </c>
      <c r="L86" s="28">
        <v>497.52334200593037</v>
      </c>
      <c r="M86" s="5">
        <v>0.20709774994362262</v>
      </c>
      <c r="N86" s="1">
        <v>11</v>
      </c>
      <c r="U86" s="5"/>
    </row>
    <row r="87" spans="4:21" x14ac:dyDescent="0.25">
      <c r="D87" s="55"/>
      <c r="J87" s="1">
        <f t="shared" si="14"/>
        <v>81</v>
      </c>
      <c r="K87" s="28">
        <v>561.11156443962398</v>
      </c>
      <c r="L87" s="28">
        <v>262.62161699434898</v>
      </c>
      <c r="M87" s="5">
        <v>0.18522839752130715</v>
      </c>
      <c r="N87" s="1">
        <v>11</v>
      </c>
      <c r="U87" s="5"/>
    </row>
    <row r="88" spans="4:21" x14ac:dyDescent="0.25">
      <c r="D88" s="55"/>
      <c r="J88" s="1">
        <f t="shared" si="14"/>
        <v>82</v>
      </c>
      <c r="K88" s="28">
        <v>506.95017712165992</v>
      </c>
      <c r="L88" s="28">
        <v>219.89984816579201</v>
      </c>
      <c r="M88" s="5">
        <v>0.17834965424092575</v>
      </c>
      <c r="N88" s="1">
        <v>11</v>
      </c>
      <c r="U88" s="5"/>
    </row>
    <row r="89" spans="4:21" x14ac:dyDescent="0.25">
      <c r="D89" s="55"/>
      <c r="J89" s="1">
        <f t="shared" si="14"/>
        <v>83</v>
      </c>
      <c r="K89" s="28">
        <v>666.45273117136867</v>
      </c>
      <c r="L89" s="28">
        <v>274.59163028044378</v>
      </c>
      <c r="M89" s="5">
        <v>0.17383102853790899</v>
      </c>
      <c r="N89" s="1">
        <v>13</v>
      </c>
      <c r="U89" s="5"/>
    </row>
    <row r="90" spans="4:21" x14ac:dyDescent="0.25">
      <c r="D90" s="55"/>
      <c r="J90" s="1">
        <f t="shared" si="14"/>
        <v>84</v>
      </c>
      <c r="K90" s="28">
        <v>844.68357519913036</v>
      </c>
      <c r="L90" s="28">
        <v>394.40038810685076</v>
      </c>
      <c r="M90" s="5">
        <v>0.1939070390517228</v>
      </c>
      <c r="N90" s="1">
        <v>13</v>
      </c>
      <c r="U90" s="5"/>
    </row>
    <row r="91" spans="4:21" x14ac:dyDescent="0.25">
      <c r="D91" s="55"/>
      <c r="J91" s="1">
        <f t="shared" si="14"/>
        <v>85</v>
      </c>
      <c r="K91" s="28">
        <v>417.42125865774716</v>
      </c>
      <c r="L91" s="28">
        <v>175.24603370372591</v>
      </c>
      <c r="M91" s="5">
        <v>0.17398493438264095</v>
      </c>
      <c r="N91" s="1">
        <v>12</v>
      </c>
      <c r="U91" s="5"/>
    </row>
    <row r="92" spans="4:21" x14ac:dyDescent="0.25">
      <c r="D92" s="55"/>
      <c r="J92" s="1">
        <f t="shared" si="14"/>
        <v>86</v>
      </c>
      <c r="K92" s="28">
        <v>344.27106319729467</v>
      </c>
      <c r="L92" s="28">
        <v>113.9728282613254</v>
      </c>
      <c r="M92" s="5">
        <v>0.15589262201846288</v>
      </c>
      <c r="N92" s="1">
        <v>12</v>
      </c>
      <c r="U92" s="5"/>
    </row>
    <row r="93" spans="4:21" x14ac:dyDescent="0.25">
      <c r="D93" s="55"/>
      <c r="J93" s="1">
        <f t="shared" si="14"/>
        <v>87</v>
      </c>
      <c r="K93" s="28">
        <v>616.05800356869941</v>
      </c>
      <c r="L93" s="28">
        <v>303.52763394741464</v>
      </c>
      <c r="M93" s="5">
        <v>0.1971754804980459</v>
      </c>
      <c r="N93" s="1">
        <v>10</v>
      </c>
      <c r="U93" s="5"/>
    </row>
    <row r="94" spans="4:21" x14ac:dyDescent="0.25">
      <c r="D94" s="55"/>
      <c r="J94" s="1">
        <f t="shared" si="14"/>
        <v>88</v>
      </c>
      <c r="K94" s="28">
        <v>359.48121064756259</v>
      </c>
      <c r="L94" s="28">
        <v>134.14182170764659</v>
      </c>
      <c r="M94" s="5">
        <v>0.16286178025190923</v>
      </c>
      <c r="N94" s="1">
        <v>12</v>
      </c>
      <c r="U94" s="5"/>
    </row>
    <row r="95" spans="4:21" x14ac:dyDescent="0.25">
      <c r="D95" s="55"/>
      <c r="J95" s="1">
        <f t="shared" si="14"/>
        <v>89</v>
      </c>
      <c r="K95" s="28">
        <v>624.31369139258811</v>
      </c>
      <c r="L95" s="28">
        <v>309.99986671370829</v>
      </c>
      <c r="M95" s="5">
        <v>0.20186696694582285</v>
      </c>
      <c r="N95" s="1">
        <v>10</v>
      </c>
      <c r="U95" s="5"/>
    </row>
    <row r="96" spans="4:21" x14ac:dyDescent="0.25">
      <c r="D96" s="55"/>
      <c r="J96" s="1">
        <f t="shared" si="14"/>
        <v>90</v>
      </c>
      <c r="K96" s="28">
        <v>542.49407795770992</v>
      </c>
      <c r="L96" s="28">
        <v>240.59210166714834</v>
      </c>
      <c r="M96" s="5">
        <v>0.18167108371498775</v>
      </c>
      <c r="N96" s="1">
        <v>11</v>
      </c>
      <c r="U96" s="5"/>
    </row>
    <row r="97" spans="10:21" x14ac:dyDescent="0.25">
      <c r="J97" s="1">
        <f t="shared" si="14"/>
        <v>91</v>
      </c>
      <c r="K97" s="28">
        <v>1744.1903638263168</v>
      </c>
      <c r="L97" s="28">
        <v>941.56528623486497</v>
      </c>
      <c r="M97" s="5">
        <v>0.25730610546721322</v>
      </c>
      <c r="N97" s="1">
        <v>10</v>
      </c>
      <c r="U97" s="5"/>
    </row>
    <row r="98" spans="10:21" x14ac:dyDescent="0.25">
      <c r="J98" s="1">
        <f t="shared" si="14"/>
        <v>92</v>
      </c>
      <c r="K98" s="28">
        <v>466.38724623581527</v>
      </c>
      <c r="L98" s="28">
        <v>196.82922684547017</v>
      </c>
      <c r="M98" s="5">
        <v>0.17286117435226767</v>
      </c>
      <c r="N98" s="1">
        <v>12</v>
      </c>
      <c r="U98" s="5"/>
    </row>
    <row r="99" spans="10:21" x14ac:dyDescent="0.25">
      <c r="J99" s="1">
        <f t="shared" si="14"/>
        <v>93</v>
      </c>
      <c r="K99" s="28">
        <v>62.033993099015738</v>
      </c>
      <c r="L99" s="28">
        <v>-56.569914813144592</v>
      </c>
      <c r="M99" s="5">
        <v>0.11346787241752976</v>
      </c>
      <c r="N99" s="1">
        <v>14</v>
      </c>
      <c r="U99" s="5"/>
    </row>
    <row r="100" spans="10:21" x14ac:dyDescent="0.25">
      <c r="J100" s="1">
        <f t="shared" si="14"/>
        <v>94</v>
      </c>
      <c r="K100" s="28">
        <v>177.69034344441098</v>
      </c>
      <c r="L100" s="28">
        <v>26.314204948530335</v>
      </c>
      <c r="M100" s="5">
        <v>0.1374350109787521</v>
      </c>
      <c r="N100" s="1">
        <v>12</v>
      </c>
      <c r="U100" s="5"/>
    </row>
    <row r="101" spans="10:21" x14ac:dyDescent="0.25">
      <c r="J101" s="1">
        <f t="shared" si="14"/>
        <v>95</v>
      </c>
      <c r="K101" s="28">
        <v>1341.0502888393085</v>
      </c>
      <c r="L101" s="28">
        <v>683.94225761840494</v>
      </c>
      <c r="M101" s="5">
        <v>0.22064586028269084</v>
      </c>
      <c r="N101" s="1">
        <v>11</v>
      </c>
      <c r="U101" s="5"/>
    </row>
    <row r="102" spans="10:21" x14ac:dyDescent="0.25">
      <c r="J102" s="1">
        <f t="shared" si="14"/>
        <v>96</v>
      </c>
      <c r="K102" s="28">
        <v>191.82704631880029</v>
      </c>
      <c r="L102" s="28">
        <v>9.5069723481395307</v>
      </c>
      <c r="M102" s="5">
        <v>0.13217085778804671</v>
      </c>
      <c r="N102" s="1">
        <v>13</v>
      </c>
      <c r="U102" s="5"/>
    </row>
    <row r="103" spans="10:21" x14ac:dyDescent="0.25">
      <c r="J103" s="1">
        <f t="shared" si="14"/>
        <v>97</v>
      </c>
      <c r="K103" s="28">
        <v>1750.7245659938133</v>
      </c>
      <c r="L103" s="28">
        <v>995.04266093765341</v>
      </c>
      <c r="M103" s="5">
        <v>0.28250137373639039</v>
      </c>
      <c r="N103" s="1">
        <v>9</v>
      </c>
      <c r="U103" s="5"/>
    </row>
    <row r="104" spans="10:21" x14ac:dyDescent="0.25">
      <c r="J104" s="1">
        <f t="shared" si="14"/>
        <v>98</v>
      </c>
      <c r="K104" s="28">
        <v>804.46914939302201</v>
      </c>
      <c r="L104" s="28">
        <v>411.44168769757135</v>
      </c>
      <c r="M104" s="5">
        <v>0.21159168308073228</v>
      </c>
      <c r="N104" s="1">
        <v>10</v>
      </c>
      <c r="U104" s="5"/>
    </row>
    <row r="105" spans="10:21" x14ac:dyDescent="0.25">
      <c r="J105" s="1">
        <f t="shared" si="14"/>
        <v>99</v>
      </c>
      <c r="K105" s="28">
        <v>190.36216793505506</v>
      </c>
      <c r="L105" s="28">
        <v>0.42541761846386306</v>
      </c>
      <c r="M105" s="5">
        <v>0.1300951380551929</v>
      </c>
      <c r="N105" s="1">
        <v>14</v>
      </c>
      <c r="U105" s="5"/>
    </row>
    <row r="106" spans="10:21" x14ac:dyDescent="0.25">
      <c r="J106" s="1">
        <f t="shared" si="14"/>
        <v>100</v>
      </c>
      <c r="K106" s="28">
        <v>269.87672572156958</v>
      </c>
      <c r="L106" s="28">
        <v>68.10082130310947</v>
      </c>
      <c r="M106" s="5">
        <v>0.14631012773574659</v>
      </c>
      <c r="N106" s="1">
        <v>13</v>
      </c>
      <c r="U106" s="5"/>
    </row>
  </sheetData>
  <sortState ref="P6:U106">
    <sortCondition ref="U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Folha0</vt:lpstr>
      <vt:lpstr>Folha1</vt:lpstr>
      <vt:lpstr>Folha2</vt:lpstr>
      <vt:lpstr>Folha3</vt:lpstr>
      <vt:lpstr>Folha4</vt:lpstr>
      <vt:lpstr>Folha5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2018-06-06T23:41:14Z</dcterms:created>
  <dcterms:modified xsi:type="dcterms:W3CDTF">2020-05-03T19:28:53Z</dcterms:modified>
</cp:coreProperties>
</file>